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45621" refMode="R1C1"/>
</workbook>
</file>

<file path=xl/calcChain.xml><?xml version="1.0" encoding="utf-8"?>
<calcChain xmlns="http://schemas.openxmlformats.org/spreadsheetml/2006/main">
  <c r="AH63" i="1" l="1"/>
  <c r="AN63" i="1"/>
  <c r="AN62" i="1"/>
  <c r="AN61" i="1"/>
  <c r="AN60" i="1"/>
  <c r="AN59" i="1"/>
  <c r="AN58" i="1"/>
  <c r="AN57" i="1"/>
  <c r="AN56" i="1"/>
  <c r="AN55" i="1"/>
  <c r="AN54" i="1"/>
  <c r="AN53" i="1"/>
  <c r="AN52" i="1"/>
  <c r="AN51" i="1"/>
  <c r="AN50" i="1"/>
  <c r="AN49" i="1"/>
  <c r="AN48" i="1"/>
  <c r="AN47" i="1"/>
  <c r="AN46" i="1"/>
  <c r="AN45" i="1"/>
  <c r="AN44" i="1"/>
  <c r="K44" i="1"/>
  <c r="J44" i="1"/>
  <c r="AN43" i="1"/>
  <c r="AN42" i="1"/>
  <c r="AN41" i="1"/>
  <c r="AF41" i="1"/>
  <c r="AD41" i="1"/>
  <c r="AA41" i="1"/>
  <c r="AO41" i="1" s="1"/>
  <c r="S41" i="1"/>
  <c r="M41" i="1"/>
  <c r="N41" i="1" s="1"/>
  <c r="AJ40" i="1"/>
  <c r="AN40" i="1" s="1"/>
  <c r="AH40" i="1"/>
  <c r="AF40" i="1"/>
  <c r="AC40" i="1"/>
  <c r="AA40" i="1"/>
  <c r="AO40" i="1" s="1"/>
  <c r="S40" i="1"/>
  <c r="N40" i="1"/>
  <c r="L40" i="1"/>
  <c r="AN39" i="1"/>
  <c r="AF39" i="1"/>
  <c r="AA39" i="1"/>
  <c r="AO39" i="1" s="1"/>
  <c r="S39" i="1"/>
  <c r="N39" i="1"/>
  <c r="L39" i="1"/>
  <c r="AJ38" i="1"/>
  <c r="AM38" i="1" s="1"/>
  <c r="AF38" i="1"/>
  <c r="AD38" i="1"/>
  <c r="AA38" i="1"/>
  <c r="AO38" i="1" s="1"/>
  <c r="S38" i="1"/>
  <c r="M38" i="1"/>
  <c r="N38" i="1" s="1"/>
  <c r="N37" i="1" s="1"/>
  <c r="AL37" i="1"/>
  <c r="AK37" i="1"/>
  <c r="AJ37" i="1"/>
  <c r="AI37" i="1"/>
  <c r="AH37" i="1"/>
  <c r="AG37" i="1"/>
  <c r="AF37" i="1"/>
  <c r="AE37" i="1"/>
  <c r="AD37" i="1"/>
  <c r="AC37" i="1"/>
  <c r="AB37" i="1"/>
  <c r="AA37" i="1"/>
  <c r="AO37" i="1" s="1"/>
  <c r="Z37" i="1"/>
  <c r="Y37" i="1"/>
  <c r="X37" i="1"/>
  <c r="V37" i="1"/>
  <c r="T37" i="1"/>
  <c r="S37" i="1"/>
  <c r="R37" i="1"/>
  <c r="M37" i="1"/>
  <c r="J37" i="1"/>
  <c r="AM36" i="1"/>
  <c r="AN36" i="1" s="1"/>
  <c r="AF36" i="1"/>
  <c r="AA36" i="1"/>
  <c r="AO36" i="1" s="1"/>
  <c r="AN35" i="1"/>
  <c r="AM34" i="1"/>
  <c r="AN34" i="1" s="1"/>
  <c r="AH34" i="1"/>
  <c r="AM33" i="1"/>
  <c r="AN33" i="1" s="1"/>
  <c r="AH33" i="1"/>
  <c r="AC33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AO31" i="1"/>
  <c r="AM31" i="1"/>
  <c r="AL31" i="1"/>
  <c r="AJ31" i="1"/>
  <c r="AH31" i="1"/>
  <c r="AF31" i="1"/>
  <c r="AD31" i="1"/>
  <c r="S31" i="1"/>
  <c r="M31" i="1"/>
  <c r="N31" i="1" s="1"/>
  <c r="AM30" i="1"/>
  <c r="AN30" i="1" s="1"/>
  <c r="AH30" i="1"/>
  <c r="AN29" i="1"/>
  <c r="AM28" i="1"/>
  <c r="AH28" i="1"/>
  <c r="AN27" i="1"/>
  <c r="AM26" i="1"/>
  <c r="AN26" i="1" s="1"/>
  <c r="AH26" i="1"/>
  <c r="AF26" i="1"/>
  <c r="AD26" i="1"/>
  <c r="AA26" i="1"/>
  <c r="S26" i="1"/>
  <c r="N26" i="1"/>
  <c r="L26" i="1"/>
  <c r="AJ25" i="1"/>
  <c r="AN25" i="1" s="1"/>
  <c r="AF25" i="1"/>
  <c r="AA25" i="1"/>
  <c r="AO25" i="1" s="1"/>
  <c r="S25" i="1"/>
  <c r="AD25" i="1" s="1"/>
  <c r="AD23" i="1" s="1"/>
  <c r="AD20" i="1" s="1"/>
  <c r="L25" i="1"/>
  <c r="N25" i="1" s="1"/>
  <c r="N23" i="1" s="1"/>
  <c r="N20" i="1" s="1"/>
  <c r="AJ24" i="1"/>
  <c r="AF24" i="1"/>
  <c r="AA24" i="1"/>
  <c r="AO24" i="1" s="1"/>
  <c r="S24" i="1"/>
  <c r="M24" i="1"/>
  <c r="L24" i="1" s="1"/>
  <c r="L23" i="1" s="1"/>
  <c r="AL23" i="1"/>
  <c r="AK23" i="1"/>
  <c r="AJ23" i="1"/>
  <c r="AI23" i="1"/>
  <c r="AH23" i="1"/>
  <c r="AG23" i="1"/>
  <c r="AF23" i="1"/>
  <c r="AE23" i="1"/>
  <c r="AC23" i="1"/>
  <c r="AB23" i="1"/>
  <c r="AA23" i="1"/>
  <c r="AO23" i="1" s="1"/>
  <c r="Z23" i="1"/>
  <c r="Y23" i="1"/>
  <c r="X23" i="1"/>
  <c r="V23" i="1"/>
  <c r="T23" i="1"/>
  <c r="S23" i="1"/>
  <c r="R23" i="1"/>
  <c r="M23" i="1"/>
  <c r="J23" i="1"/>
  <c r="AN22" i="1"/>
  <c r="AL20" i="1"/>
  <c r="AJ20" i="1"/>
  <c r="AI20" i="1"/>
  <c r="AH20" i="1"/>
  <c r="AG20" i="1"/>
  <c r="AF20" i="1"/>
  <c r="AE20" i="1"/>
  <c r="AC20" i="1"/>
  <c r="AB20" i="1"/>
  <c r="AA20" i="1"/>
  <c r="AO20" i="1" s="1"/>
  <c r="Z20" i="1"/>
  <c r="Y20" i="1"/>
  <c r="X20" i="1"/>
  <c r="V20" i="1"/>
  <c r="T20" i="1"/>
  <c r="S20" i="1"/>
  <c r="R20" i="1"/>
  <c r="M20" i="1"/>
  <c r="J20" i="1"/>
  <c r="AN19" i="1"/>
  <c r="Z19" i="1"/>
  <c r="AO18" i="1"/>
  <c r="AN18" i="1"/>
  <c r="Z18" i="1"/>
  <c r="AN17" i="1"/>
  <c r="Z17" i="1"/>
  <c r="AF16" i="1"/>
  <c r="AA16" i="1"/>
  <c r="AO16" i="1" s="1"/>
  <c r="S16" i="1"/>
  <c r="N16" i="1"/>
  <c r="M16" i="1"/>
  <c r="AL15" i="1"/>
  <c r="AF15" i="1"/>
  <c r="AA15" i="1"/>
  <c r="S15" i="1"/>
  <c r="M15" i="1"/>
  <c r="N15" i="1" s="1"/>
  <c r="AR24" i="1" s="1"/>
  <c r="AL14" i="1"/>
  <c r="AF14" i="1"/>
  <c r="AA14" i="1"/>
  <c r="AO14" i="1" s="1"/>
  <c r="S14" i="1"/>
  <c r="M14" i="1"/>
  <c r="N14" i="1" s="1"/>
  <c r="AF13" i="1"/>
  <c r="AA13" i="1"/>
  <c r="AO13" i="1" s="1"/>
  <c r="S13" i="1"/>
  <c r="M13" i="1"/>
  <c r="N13" i="1" s="1"/>
  <c r="AF12" i="1"/>
  <c r="AA12" i="1"/>
  <c r="AM11" i="1"/>
  <c r="AN11" i="1" s="1"/>
  <c r="AF11" i="1"/>
  <c r="AD11" i="1"/>
  <c r="Z11" i="1"/>
  <c r="X11" i="1"/>
  <c r="W11" i="1"/>
  <c r="V11" i="1"/>
  <c r="U11" i="1"/>
  <c r="T11" i="1"/>
  <c r="AA11" i="1" s="1"/>
  <c r="K11" i="1"/>
  <c r="J11" i="1"/>
  <c r="AO10" i="1"/>
  <c r="AM10" i="1"/>
  <c r="AN10" i="1" s="1"/>
  <c r="AJ10" i="1"/>
  <c r="AF10" i="1"/>
  <c r="X10" i="1"/>
  <c r="V10" i="1"/>
  <c r="T10" i="1"/>
  <c r="S10" i="1"/>
  <c r="AF9" i="1"/>
  <c r="AA9" i="1"/>
  <c r="Z9" i="1"/>
  <c r="X9" i="1"/>
  <c r="X12" i="1" s="1"/>
  <c r="W9" i="1"/>
  <c r="V9" i="1"/>
  <c r="V12" i="1" s="1"/>
  <c r="U9" i="1"/>
  <c r="T9" i="1"/>
  <c r="T12" i="1" s="1"/>
  <c r="K9" i="1"/>
  <c r="J9" i="1"/>
  <c r="J12" i="1" s="1"/>
  <c r="AM8" i="1"/>
  <c r="AM12" i="1" s="1"/>
  <c r="AF8" i="1"/>
  <c r="K8" i="1"/>
  <c r="K12" i="1" s="1"/>
  <c r="AL7" i="1"/>
  <c r="AK7" i="1"/>
  <c r="AJ7" i="1"/>
  <c r="AI7" i="1"/>
  <c r="AG7" i="1"/>
  <c r="AF7" i="1"/>
  <c r="AE7" i="1"/>
  <c r="AC7" i="1"/>
  <c r="AB7" i="1"/>
  <c r="AA7" i="1"/>
  <c r="Z7" i="1"/>
  <c r="AD12" i="1" s="1"/>
  <c r="Y7" i="1"/>
  <c r="S7" i="1"/>
  <c r="R7" i="1"/>
  <c r="N7" i="1"/>
  <c r="M7" i="1"/>
  <c r="AL6" i="1"/>
  <c r="AK6" i="1"/>
  <c r="AJ6" i="1"/>
  <c r="AI6" i="1"/>
  <c r="AG6" i="1"/>
  <c r="AF6" i="1"/>
  <c r="AF22" i="1" s="1"/>
  <c r="AE6" i="1"/>
  <c r="AE22" i="1" s="1"/>
  <c r="AD6" i="1"/>
  <c r="AD22" i="1" s="1"/>
  <c r="AC6" i="1"/>
  <c r="AB6" i="1"/>
  <c r="AA6" i="1"/>
  <c r="AA22" i="1" s="1"/>
  <c r="Z6" i="1"/>
  <c r="Z22" i="1" s="1"/>
  <c r="Y6" i="1"/>
  <c r="S6" i="1"/>
  <c r="R6" i="1"/>
  <c r="N6" i="1"/>
  <c r="M6" i="1"/>
  <c r="AO7" i="1" l="1"/>
  <c r="AO26" i="1"/>
  <c r="AN31" i="1"/>
  <c r="AN32" i="1"/>
  <c r="U8" i="1"/>
  <c r="U12" i="1" s="1"/>
  <c r="AO15" i="1"/>
  <c r="J17" i="1"/>
  <c r="T17" i="1" s="1"/>
  <c r="V17" i="1" s="1"/>
  <c r="J16" i="1"/>
  <c r="T16" i="1" s="1"/>
  <c r="V16" i="1" s="1"/>
  <c r="J15" i="1"/>
  <c r="T15" i="1" s="1"/>
  <c r="V15" i="1" s="1"/>
  <c r="J19" i="1"/>
  <c r="T19" i="1" s="1"/>
  <c r="V19" i="1" s="1"/>
  <c r="J18" i="1"/>
  <c r="T18" i="1" s="1"/>
  <c r="V18" i="1" s="1"/>
  <c r="J14" i="1"/>
  <c r="T14" i="1" s="1"/>
  <c r="V14" i="1" s="1"/>
  <c r="J13" i="1"/>
  <c r="X17" i="1"/>
  <c r="X15" i="1"/>
  <c r="X14" i="1"/>
  <c r="X13" i="1"/>
  <c r="X19" i="1"/>
  <c r="X18" i="1"/>
  <c r="X16" i="1"/>
  <c r="AO6" i="1"/>
  <c r="AD15" i="1"/>
  <c r="AD14" i="1"/>
  <c r="AD13" i="1"/>
  <c r="AD16" i="1"/>
  <c r="K40" i="1"/>
  <c r="U40" i="1" s="1"/>
  <c r="K39" i="1"/>
  <c r="U39" i="1" s="1"/>
  <c r="K38" i="1"/>
  <c r="K26" i="1"/>
  <c r="U26" i="1" s="1"/>
  <c r="K19" i="1"/>
  <c r="U19" i="1" s="1"/>
  <c r="K18" i="1"/>
  <c r="K14" i="1"/>
  <c r="U14" i="1" s="1"/>
  <c r="K13" i="1"/>
  <c r="K41" i="1"/>
  <c r="U41" i="1" s="1"/>
  <c r="K31" i="1"/>
  <c r="U31" i="1" s="1"/>
  <c r="K27" i="1"/>
  <c r="U27" i="1" s="1"/>
  <c r="K17" i="1"/>
  <c r="U17" i="1" s="1"/>
  <c r="W17" i="1" s="1"/>
  <c r="K16" i="1"/>
  <c r="U16" i="1" s="1"/>
  <c r="K15" i="1"/>
  <c r="U15" i="1" s="1"/>
  <c r="W15" i="1" s="1"/>
  <c r="W8" i="1"/>
  <c r="W12" i="1" s="1"/>
  <c r="AM13" i="1"/>
  <c r="AM16" i="1"/>
  <c r="AN16" i="1" s="1"/>
  <c r="AM15" i="1"/>
  <c r="AM14" i="1"/>
  <c r="AN14" i="1" s="1"/>
  <c r="AN38" i="1"/>
  <c r="AM37" i="1"/>
  <c r="AN37" i="1" s="1"/>
  <c r="L38" i="1"/>
  <c r="L37" i="1" s="1"/>
  <c r="L15" i="1"/>
  <c r="L7" i="1" s="1"/>
  <c r="L31" i="1"/>
  <c r="L20" i="1" s="1"/>
  <c r="X7" i="1" l="1"/>
  <c r="X6" i="1" s="1"/>
  <c r="X22" i="1" s="1"/>
  <c r="L6" i="1"/>
  <c r="W16" i="1"/>
  <c r="W27" i="1"/>
  <c r="W41" i="1"/>
  <c r="W14" i="1"/>
  <c r="W19" i="1"/>
  <c r="K37" i="1"/>
  <c r="U38" i="1"/>
  <c r="W40" i="1"/>
  <c r="AM24" i="1"/>
  <c r="AN15" i="1"/>
  <c r="AN13" i="1"/>
  <c r="AM7" i="1"/>
  <c r="W31" i="1"/>
  <c r="U13" i="1"/>
  <c r="K7" i="1"/>
  <c r="K25" i="1"/>
  <c r="K23" i="1" s="1"/>
  <c r="K20" i="1" s="1"/>
  <c r="U18" i="1"/>
  <c r="W26" i="1"/>
  <c r="W39" i="1"/>
  <c r="T13" i="1"/>
  <c r="J7" i="1"/>
  <c r="J6" i="1" s="1"/>
  <c r="J22" i="1" s="1"/>
  <c r="U25" i="1" l="1"/>
  <c r="U23" i="1" s="1"/>
  <c r="W18" i="1"/>
  <c r="W25" i="1" s="1"/>
  <c r="W23" i="1" s="1"/>
  <c r="K6" i="1"/>
  <c r="K22" i="1" s="1"/>
  <c r="AN24" i="1"/>
  <c r="AM23" i="1"/>
  <c r="W38" i="1"/>
  <c r="W37" i="1" s="1"/>
  <c r="U37" i="1"/>
  <c r="V13" i="1"/>
  <c r="V7" i="1" s="1"/>
  <c r="V6" i="1" s="1"/>
  <c r="V22" i="1" s="1"/>
  <c r="T7" i="1"/>
  <c r="T6" i="1" s="1"/>
  <c r="T22" i="1" s="1"/>
  <c r="W13" i="1"/>
  <c r="W7" i="1" s="1"/>
  <c r="U7" i="1"/>
  <c r="AN7" i="1"/>
  <c r="W20" i="1" l="1"/>
  <c r="W6" i="1" s="1"/>
  <c r="W22" i="1" s="1"/>
  <c r="AN23" i="1"/>
  <c r="AM20" i="1"/>
  <c r="U20" i="1"/>
  <c r="U6" i="1" s="1"/>
  <c r="U22" i="1" s="1"/>
  <c r="AN20" i="1" l="1"/>
  <c r="AM6" i="1"/>
  <c r="AN6" i="1" s="1"/>
</calcChain>
</file>

<file path=xl/comments1.xml><?xml version="1.0" encoding="utf-8"?>
<comments xmlns="http://schemas.openxmlformats.org/spreadsheetml/2006/main">
  <authors>
    <author>Автор</author>
  </authors>
  <commentList>
    <comment ref="E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300 млн списано при установлении тарифов на 2015 год
</t>
        </r>
      </text>
    </comment>
    <comment ref="M4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все услуги коммунальные</t>
        </r>
      </text>
    </comment>
    <comment ref="H59" authorId="0">
      <text>
        <r>
          <rPr>
            <b/>
            <sz val="9"/>
            <color indexed="81"/>
            <rFont val="Tahoma"/>
            <family val="2"/>
            <charset val="204"/>
          </rPr>
          <t>30 658,5 - выпадающие по ЛТП за 2013 г (факт-план по ТБР)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62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282 261,29 - выпадающие за 2013 г (дисбаланс электроэнергии по уровням напряжения)
</t>
        </r>
      </text>
    </comment>
  </commentList>
</comments>
</file>

<file path=xl/sharedStrings.xml><?xml version="1.0" encoding="utf-8"?>
<sst xmlns="http://schemas.openxmlformats.org/spreadsheetml/2006/main" count="159" uniqueCount="135">
  <si>
    <t>Корректировка НВВ ООО "Архэнергия" на  2022 год</t>
  </si>
  <si>
    <t>тыс. руб.</t>
  </si>
  <si>
    <t>№ п/п</t>
  </si>
  <si>
    <t>Показатель</t>
  </si>
  <si>
    <t>Долгосрочный период 2018-2020 гг.</t>
  </si>
  <si>
    <t>рост, %</t>
  </si>
  <si>
    <t>Примечание</t>
  </si>
  <si>
    <t>2014 г.</t>
  </si>
  <si>
    <t>2015 г.</t>
  </si>
  <si>
    <t>2016 г.</t>
  </si>
  <si>
    <t>2017 г.</t>
  </si>
  <si>
    <t>2018 г.</t>
  </si>
  <si>
    <t>2019 год</t>
  </si>
  <si>
    <t>2020 год</t>
  </si>
  <si>
    <t>Утверждено</t>
  </si>
  <si>
    <t>предложение Архэнерго</t>
  </si>
  <si>
    <t xml:space="preserve">Факт </t>
  </si>
  <si>
    <t>утверждено</t>
  </si>
  <si>
    <t xml:space="preserve">корр. Архэнерго на 2015 </t>
  </si>
  <si>
    <t>корр.ЭЗ на 2015</t>
  </si>
  <si>
    <t>предложение АТЦ</t>
  </si>
  <si>
    <t>Факт</t>
  </si>
  <si>
    <t>факт за 2015 БУ</t>
  </si>
  <si>
    <t>Экономически обоснованный факт</t>
  </si>
  <si>
    <t>Предложение Архэнерго</t>
  </si>
  <si>
    <t>Корр.ЭЗ</t>
  </si>
  <si>
    <t>Предложение организации</t>
  </si>
  <si>
    <t>ЭЗ 2018</t>
  </si>
  <si>
    <t>ЭЗ</t>
  </si>
  <si>
    <t>ЭЗ без учета корректировок</t>
  </si>
  <si>
    <t>Фактические данные</t>
  </si>
  <si>
    <t>Экономически обоснованные фактические данные</t>
  </si>
  <si>
    <t>2022/2021</t>
  </si>
  <si>
    <t>18/15</t>
  </si>
  <si>
    <t>НВВ на содержание</t>
  </si>
  <si>
    <t>Суммирование (1+2+3)</t>
  </si>
  <si>
    <t>Подконтрольные расходы (ПР)</t>
  </si>
  <si>
    <t>Суммирование (1.1+1.2+1.3+1.4)</t>
  </si>
  <si>
    <t>Индекс потребительских цен</t>
  </si>
  <si>
    <t>x</t>
  </si>
  <si>
    <t xml:space="preserve">В соответствии с опубликованным прогнозом социально-экономического развития </t>
  </si>
  <si>
    <t>Коэффициент эластичности</t>
  </si>
  <si>
    <t>Определен согласно Методическим указаниям № 98-э</t>
  </si>
  <si>
    <t>Количество условных единиц</t>
  </si>
  <si>
    <t>Увеличение количества электросетевого оборудования в 2021году</t>
  </si>
  <si>
    <t>Индекс эффективности</t>
  </si>
  <si>
    <t>Определен согласно Методическим указаниям № 421-э</t>
  </si>
  <si>
    <t>Коэффициент индексации</t>
  </si>
  <si>
    <t>х</t>
  </si>
  <si>
    <t>Не применяется при установлении базового уровня</t>
  </si>
  <si>
    <t>1.1</t>
  </si>
  <si>
    <t>Сырье и материалы</t>
  </si>
  <si>
    <t>Определены на 70% методом экономически обоснованных расходов, на 30% методом сравнения аналогов</t>
  </si>
  <si>
    <t>1.2</t>
  </si>
  <si>
    <t>Ремонт основных фондов</t>
  </si>
  <si>
    <t>1.3</t>
  </si>
  <si>
    <t>Оплата труда</t>
  </si>
  <si>
    <t>1.4</t>
  </si>
  <si>
    <t>Другие подконтрольные расходы</t>
  </si>
  <si>
    <t>из них расходы на обслуживание заемных средств</t>
  </si>
  <si>
    <t>из них соц. выплаты</t>
  </si>
  <si>
    <t>дивиденды</t>
  </si>
  <si>
    <t>Неподконтрольные расходы (НР)</t>
  </si>
  <si>
    <t>Суммирование (2.1+2.2+2.3+2.4+2.5+2.6+2.7+2.8)</t>
  </si>
  <si>
    <t>2.1</t>
  </si>
  <si>
    <t>Расходы на финансирование капитальных вложений из прибыли</t>
  </si>
  <si>
    <t>справочно: не более 12 % от НВВ</t>
  </si>
  <si>
    <t>2.2</t>
  </si>
  <si>
    <t>Оплата налогов</t>
  </si>
  <si>
    <t>Суммирование</t>
  </si>
  <si>
    <t>2.2.1</t>
  </si>
  <si>
    <t>страховые взносы от ФОТ</t>
  </si>
  <si>
    <t>Величина определена на основании фактически сложившегося процента страховых взносов за 2020 год</t>
  </si>
  <si>
    <t>Факт %</t>
  </si>
  <si>
    <t>2.2.2</t>
  </si>
  <si>
    <t>налог на прибыль</t>
  </si>
  <si>
    <t>Величина определена в соответствии с требованиями Основ ценообразования как фактическое значение за 2020 год</t>
  </si>
  <si>
    <t>2.2.3</t>
  </si>
  <si>
    <t>налог на имущество</t>
  </si>
  <si>
    <t>Величины определены на основании выполненных расчетов</t>
  </si>
  <si>
    <t xml:space="preserve">прочие налоги и сборы </t>
  </si>
  <si>
    <t>трансторный налог</t>
  </si>
  <si>
    <t>госпошлина</t>
  </si>
  <si>
    <t>2.3</t>
  </si>
  <si>
    <t>Амортизация</t>
  </si>
  <si>
    <t>Величина определена на основании пункта 27 Основ ценообразования</t>
  </si>
  <si>
    <t>Плата за аренду имущества и лизинг, в том числе:</t>
  </si>
  <si>
    <t>аренда электросетевого хозяйства</t>
  </si>
  <si>
    <t xml:space="preserve"> прочая аренда </t>
  </si>
  <si>
    <t>лизинг</t>
  </si>
  <si>
    <t>2.5</t>
  </si>
  <si>
    <t>Расходы, связанные с компенсацией льготного ТП</t>
  </si>
  <si>
    <t>Величина определена на основании расчета, выполненного в соответствии с Методическими указаниями</t>
  </si>
  <si>
    <t>2.6</t>
  </si>
  <si>
    <t xml:space="preserve">Оплата услуг регулируемых организаций </t>
  </si>
  <si>
    <t>2.6.1</t>
  </si>
  <si>
    <t>Величины определены на основании прогнозных объемов потребления, представленных организацией, а также с учетом установленных тарифов на соответствующие услуги, либо их прогнозных ростов</t>
  </si>
  <si>
    <t>2.6.2</t>
  </si>
  <si>
    <t>Электроэнергия на хоз. нужды</t>
  </si>
  <si>
    <t>2.6.3</t>
  </si>
  <si>
    <t>Теплоэнергия на хоз. нужды</t>
  </si>
  <si>
    <t>2.6.4</t>
  </si>
  <si>
    <t>Коммунальные услуги</t>
  </si>
  <si>
    <t>2.8.</t>
  </si>
  <si>
    <t>Погашение заемных средств</t>
  </si>
  <si>
    <t>2.9.</t>
  </si>
  <si>
    <t>Прочие расходы</t>
  </si>
  <si>
    <t xml:space="preserve">Расходы, связанные с компенсацией незапланированных 
расходов (В) </t>
  </si>
  <si>
    <t>Экономически необоснованны</t>
  </si>
  <si>
    <t>выпадающие доходы 2011 года от расторжения договоров аренды "последней мили" по объектам ОАО "РУСЭНЕРГОСБЫТ" и                                                       ОАО "РУСЭНЕРГОРЕСУРС"</t>
  </si>
  <si>
    <t>Корректировка НВВ с учётом достигнутого уровня надёжности и качества</t>
  </si>
  <si>
    <t>Выпадающие доходы филиала за 2012 год (переход АСК на расчёты по фактической мощности с 13.06.2012)</t>
  </si>
  <si>
    <t>Не подлежат учету в соответствии с абз.7 п. 7 Основ ценообразования в области регулируемых цен (тарифов) в электроэнергетике, утвержденных ПП РФ от 29.12.2011 № 1178</t>
  </si>
  <si>
    <t>Недополученная выручка в 2013 году с учетом перехода с 01.07.2013 потребителей мощностью более 670 кВт на двухставочные тарифы по услуге на передачу э/э</t>
  </si>
  <si>
    <t>по расчету</t>
  </si>
  <si>
    <t>Выпадающие доходы филиала по обслуживанию кредитов, привлечённых в связи с недополучением тарифной выручки в 2012 году</t>
  </si>
  <si>
    <t>Выпадающие доходы филиала по обслуживанию кредитов, привлечённых в связи с недополучением тарифной выручки в 2011 году (по п. 3.1.)</t>
  </si>
  <si>
    <t>Неучтённые расходы, связанные с исполнением Законодательства (энергетическое обследование)</t>
  </si>
  <si>
    <t>Создание резерва по сомнительным долгам за услуги  по передаче, оказанные ТСО-плательщикам, за 2010-2011 гг.</t>
  </si>
  <si>
    <t>Недополученный доход за июль, август, сентябрь ("трансляция тарифов" по ПП 442)</t>
  </si>
  <si>
    <t>Корректировка по ЕСН за 9 месяцев 2012</t>
  </si>
  <si>
    <t>Корректировка подконтрольных, учтенных в 2012 году на изменение ИПЦ (2012/2011)</t>
  </si>
  <si>
    <t>Проценты по ремонтам, 2011 г.</t>
  </si>
  <si>
    <r>
      <t xml:space="preserve">Выпадающие по статье "Заработная плата" за 2011, 2012 гг </t>
    </r>
    <r>
      <rPr>
        <b/>
        <u/>
        <sz val="11"/>
        <rFont val="Times New Roman"/>
        <family val="1"/>
        <charset val="204"/>
      </rPr>
      <t>(приказ ФСТ России от 11.03.2013 №</t>
    </r>
    <r>
      <rPr>
        <sz val="11"/>
        <rFont val="Times New Roman"/>
        <family val="1"/>
        <charset val="204"/>
      </rPr>
      <t>)</t>
    </r>
  </si>
  <si>
    <r>
      <t xml:space="preserve">Выпадающие по статье "Заработная плата" за 2013 г </t>
    </r>
    <r>
      <rPr>
        <b/>
        <u/>
        <sz val="11"/>
        <rFont val="Times New Roman"/>
        <family val="1"/>
        <charset val="204"/>
      </rPr>
      <t>(приказ ФСТ России от 11.03.2013 №</t>
    </r>
    <r>
      <rPr>
        <sz val="11"/>
        <rFont val="Times New Roman"/>
        <family val="1"/>
        <charset val="204"/>
      </rPr>
      <t>)</t>
    </r>
  </si>
  <si>
    <t>Выпадающие от ЛТП</t>
  </si>
  <si>
    <t>учтены при корректировке НР за 2013 г.</t>
  </si>
  <si>
    <t>Выпадающие расходы по реконструкции сетей по договорам ТП некомпенсируемых за счет платы за ТП</t>
  </si>
  <si>
    <t>не обоснованы</t>
  </si>
  <si>
    <t>Налог на прибыль на выпадающие по статье "Заработная плата" за 2012 год (приказ ФСТ России от 11.03.2013 №)</t>
  </si>
  <si>
    <t>Выпадающие прошлых лет</t>
  </si>
  <si>
    <t>2.7</t>
  </si>
  <si>
    <t>Расходы на списание безнадежной дебиторской задолженности</t>
  </si>
  <si>
    <r>
      <t xml:space="preserve">Оплата услуг ПАО </t>
    </r>
    <r>
      <rPr>
        <sz val="12"/>
        <rFont val="Times New Roman"/>
        <family val="1"/>
        <charset val="204"/>
      </rPr>
      <t>«</t>
    </r>
    <r>
      <rPr>
        <i/>
        <sz val="12"/>
        <rFont val="Times New Roman"/>
        <family val="1"/>
        <charset val="204"/>
      </rPr>
      <t>ФСК ЕЭС</t>
    </r>
    <r>
      <rPr>
        <sz val="12"/>
        <rFont val="Times New Roman"/>
        <family val="1"/>
        <charset val="204"/>
      </rPr>
      <t>»</t>
    </r>
  </si>
  <si>
    <t xml:space="preserve">  Предложение организации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</si>
</sst>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%"/>
    <numFmt numFmtId="166" formatCode="0.000"/>
    <numFmt numFmtId="167" formatCode="#,##0.000"/>
    <numFmt numFmtId="168" formatCode="0.0000"/>
    <numFmt numFmtId="169" formatCode="#,##0.00000_ ;\-#,##0.00000\ "/>
    <numFmt numFmtId="170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 CYR"/>
      <charset val="204"/>
    </font>
    <font>
      <sz val="11"/>
      <name val="Times New Roman Cyr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b/>
      <sz val="11"/>
      <color indexed="10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 CYR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1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0" fontId="3" fillId="0" borderId="0" xfId="0" applyFont="1" applyBorder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" fillId="0" borderId="0" xfId="0" applyFont="1" applyAlignment="1">
      <alignment horizontal="right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11" xfId="0" applyFill="1" applyBorder="1"/>
    <xf numFmtId="0" fontId="5" fillId="0" borderId="1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9" fontId="5" fillId="2" borderId="13" xfId="0" applyNumberFormat="1" applyFont="1" applyFill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0" xfId="0" applyFont="1" applyFill="1"/>
    <xf numFmtId="164" fontId="5" fillId="2" borderId="13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horizontal="center" vertical="center"/>
    </xf>
    <xf numFmtId="165" fontId="6" fillId="0" borderId="13" xfId="0" applyNumberFormat="1" applyFont="1" applyFill="1" applyBorder="1" applyAlignment="1">
      <alignment horizontal="center" vertical="center"/>
    </xf>
    <xf numFmtId="165" fontId="6" fillId="2" borderId="22" xfId="0" applyNumberFormat="1" applyFont="1" applyFill="1" applyBorder="1" applyAlignment="1">
      <alignment horizontal="center" vertical="center"/>
    </xf>
    <xf numFmtId="167" fontId="6" fillId="4" borderId="21" xfId="0" applyNumberFormat="1" applyFont="1" applyFill="1" applyBorder="1" applyAlignment="1">
      <alignment horizontal="center" vertical="center" wrapText="1"/>
    </xf>
    <xf numFmtId="164" fontId="10" fillId="4" borderId="25" xfId="0" applyNumberFormat="1" applyFont="1" applyFill="1" applyBorder="1" applyAlignment="1">
      <alignment horizontal="center" vertical="center" wrapText="1"/>
    </xf>
    <xf numFmtId="165" fontId="6" fillId="2" borderId="27" xfId="0" applyNumberFormat="1" applyFont="1" applyFill="1" applyBorder="1" applyAlignment="1">
      <alignment horizontal="center" vertical="center"/>
    </xf>
    <xf numFmtId="165" fontId="6" fillId="4" borderId="26" xfId="0" applyNumberFormat="1" applyFont="1" applyFill="1" applyBorder="1" applyAlignment="1">
      <alignment horizontal="center" vertical="center"/>
    </xf>
    <xf numFmtId="164" fontId="6" fillId="4" borderId="26" xfId="0" applyNumberFormat="1" applyFont="1" applyFill="1" applyBorder="1" applyAlignment="1">
      <alignment horizontal="center" vertical="center"/>
    </xf>
    <xf numFmtId="164" fontId="6" fillId="0" borderId="26" xfId="0" applyNumberFormat="1" applyFont="1" applyFill="1" applyBorder="1" applyAlignment="1">
      <alignment horizontal="center" vertical="center"/>
    </xf>
    <xf numFmtId="164" fontId="6" fillId="4" borderId="26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169" fontId="6" fillId="6" borderId="26" xfId="0" applyNumberFormat="1" applyFont="1" applyFill="1" applyBorder="1" applyAlignment="1">
      <alignment horizontal="center" vertical="center" wrapText="1"/>
    </xf>
    <xf numFmtId="3" fontId="6" fillId="6" borderId="28" xfId="0" applyNumberFormat="1" applyFont="1" applyFill="1" applyBorder="1" applyAlignment="1">
      <alignment horizontal="center" vertical="center" wrapText="1"/>
    </xf>
    <xf numFmtId="3" fontId="6" fillId="6" borderId="12" xfId="0" applyNumberFormat="1" applyFont="1" applyFill="1" applyBorder="1" applyAlignment="1">
      <alignment horizontal="center" vertical="center" wrapText="1"/>
    </xf>
    <xf numFmtId="3" fontId="6" fillId="6" borderId="21" xfId="0" applyNumberFormat="1" applyFont="1" applyFill="1" applyBorder="1" applyAlignment="1">
      <alignment horizontal="center" vertical="center" wrapText="1"/>
    </xf>
    <xf numFmtId="3" fontId="6" fillId="4" borderId="26" xfId="0" applyNumberFormat="1" applyFont="1" applyFill="1" applyBorder="1" applyAlignment="1">
      <alignment horizontal="center" vertical="center" wrapText="1"/>
    </xf>
    <xf numFmtId="165" fontId="6" fillId="2" borderId="38" xfId="0" applyNumberFormat="1" applyFont="1" applyFill="1" applyBorder="1" applyAlignment="1">
      <alignment horizontal="center" vertical="center"/>
    </xf>
    <xf numFmtId="3" fontId="6" fillId="4" borderId="28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/>
    </xf>
    <xf numFmtId="3" fontId="5" fillId="2" borderId="13" xfId="0" applyNumberFormat="1" applyFont="1" applyFill="1" applyBorder="1" applyAlignment="1">
      <alignment horizontal="center"/>
    </xf>
    <xf numFmtId="3" fontId="6" fillId="4" borderId="21" xfId="0" applyNumberFormat="1" applyFont="1" applyFill="1" applyBorder="1" applyAlignment="1">
      <alignment horizontal="center" vertical="center" wrapText="1"/>
    </xf>
    <xf numFmtId="3" fontId="6" fillId="4" borderId="26" xfId="0" applyNumberFormat="1" applyFont="1" applyFill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/>
    </xf>
    <xf numFmtId="165" fontId="5" fillId="2" borderId="27" xfId="0" applyNumberFormat="1" applyFont="1" applyFill="1" applyBorder="1" applyAlignment="1">
      <alignment horizontal="center" vertical="center"/>
    </xf>
    <xf numFmtId="3" fontId="5" fillId="4" borderId="26" xfId="0" applyNumberFormat="1" applyFont="1" applyFill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10" fontId="12" fillId="0" borderId="0" xfId="0" applyNumberFormat="1" applyFont="1" applyFill="1"/>
    <xf numFmtId="3" fontId="6" fillId="4" borderId="28" xfId="0" applyNumberFormat="1" applyFont="1" applyFill="1" applyBorder="1" applyAlignment="1">
      <alignment horizontal="center" vertical="center" wrapText="1"/>
    </xf>
    <xf numFmtId="3" fontId="6" fillId="4" borderId="12" xfId="0" applyNumberFormat="1" applyFont="1" applyFill="1" applyBorder="1" applyAlignment="1">
      <alignment horizontal="center" vertical="center" wrapText="1"/>
    </xf>
    <xf numFmtId="3" fontId="6" fillId="4" borderId="21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164" fontId="5" fillId="4" borderId="24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23" xfId="0" applyNumberFormat="1" applyFont="1" applyFill="1" applyBorder="1" applyAlignment="1">
      <alignment horizontal="center" vertical="center"/>
    </xf>
    <xf numFmtId="164" fontId="5" fillId="4" borderId="27" xfId="0" applyNumberFormat="1" applyFont="1" applyFill="1" applyBorder="1" applyAlignment="1">
      <alignment horizontal="center" vertical="center"/>
    </xf>
    <xf numFmtId="164" fontId="5" fillId="4" borderId="25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 vertical="center"/>
    </xf>
    <xf numFmtId="164" fontId="5" fillId="4" borderId="26" xfId="0" applyNumberFormat="1" applyFont="1" applyFill="1" applyBorder="1" applyAlignment="1">
      <alignment horizontal="center" vertical="center"/>
    </xf>
    <xf numFmtId="49" fontId="5" fillId="4" borderId="29" xfId="0" applyNumberFormat="1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vertical="center"/>
    </xf>
    <xf numFmtId="3" fontId="5" fillId="4" borderId="34" xfId="0" applyNumberFormat="1" applyFont="1" applyFill="1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3" fontId="5" fillId="4" borderId="27" xfId="0" applyNumberFormat="1" applyFont="1" applyFill="1" applyBorder="1" applyAlignment="1">
      <alignment horizontal="center" vertical="center"/>
    </xf>
    <xf numFmtId="3" fontId="5" fillId="4" borderId="25" xfId="0" applyNumberFormat="1" applyFont="1" applyFill="1" applyBorder="1" applyAlignment="1">
      <alignment horizontal="center" vertical="center"/>
    </xf>
    <xf numFmtId="164" fontId="5" fillId="4" borderId="33" xfId="0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30" xfId="0" applyBorder="1"/>
    <xf numFmtId="3" fontId="5" fillId="4" borderId="29" xfId="0" applyNumberFormat="1" applyFont="1" applyFill="1" applyBorder="1" applyAlignment="1">
      <alignment horizontal="center" vertical="center"/>
    </xf>
    <xf numFmtId="164" fontId="6" fillId="4" borderId="36" xfId="0" applyNumberFormat="1" applyFont="1" applyFill="1" applyBorder="1" applyAlignment="1">
      <alignment horizontal="center" vertical="center"/>
    </xf>
    <xf numFmtId="3" fontId="5" fillId="4" borderId="24" xfId="0" applyNumberFormat="1" applyFont="1" applyFill="1" applyBorder="1" applyAlignment="1">
      <alignment horizontal="center" vertical="center"/>
    </xf>
    <xf numFmtId="3" fontId="5" fillId="4" borderId="3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6" fillId="4" borderId="28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wrapText="1"/>
    </xf>
    <xf numFmtId="164" fontId="5" fillId="2" borderId="14" xfId="0" applyNumberFormat="1" applyFont="1" applyFill="1" applyBorder="1" applyAlignment="1">
      <alignment horizontal="center" vertical="center"/>
    </xf>
    <xf numFmtId="164" fontId="5" fillId="2" borderId="20" xfId="0" applyNumberFormat="1" applyFont="1" applyFill="1" applyBorder="1" applyAlignment="1">
      <alignment horizontal="center" vertical="center"/>
    </xf>
    <xf numFmtId="164" fontId="5" fillId="2" borderId="16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>
      <alignment horizontal="center" vertical="center"/>
    </xf>
    <xf numFmtId="164" fontId="5" fillId="2" borderId="9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horizontal="center" vertical="center"/>
    </xf>
    <xf numFmtId="4" fontId="5" fillId="2" borderId="25" xfId="0" applyNumberFormat="1" applyFont="1" applyFill="1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4" fontId="5" fillId="2" borderId="24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 wrapText="1"/>
    </xf>
    <xf numFmtId="0" fontId="0" fillId="0" borderId="40" xfId="0" applyBorder="1"/>
    <xf numFmtId="170" fontId="5" fillId="4" borderId="27" xfId="0" applyNumberFormat="1" applyFont="1" applyFill="1" applyBorder="1" applyAlignment="1">
      <alignment horizontal="center" vertical="center"/>
    </xf>
    <xf numFmtId="170" fontId="5" fillId="4" borderId="25" xfId="0" applyNumberFormat="1" applyFont="1" applyFill="1" applyBorder="1" applyAlignment="1">
      <alignment horizontal="center" vertical="center"/>
    </xf>
    <xf numFmtId="0" fontId="0" fillId="0" borderId="39" xfId="0" applyBorder="1"/>
    <xf numFmtId="0" fontId="0" fillId="0" borderId="12" xfId="0" applyBorder="1"/>
    <xf numFmtId="170" fontId="5" fillId="4" borderId="24" xfId="0" applyNumberFormat="1" applyFont="1" applyFill="1" applyBorder="1" applyAlignment="1">
      <alignment horizontal="center" vertical="center"/>
    </xf>
    <xf numFmtId="170" fontId="5" fillId="4" borderId="3" xfId="0" applyNumberFormat="1" applyFont="1" applyFill="1" applyBorder="1" applyAlignment="1">
      <alignment horizontal="center" vertical="center"/>
    </xf>
    <xf numFmtId="170" fontId="5" fillId="4" borderId="26" xfId="0" applyNumberFormat="1" applyFont="1" applyFill="1" applyBorder="1" applyAlignment="1">
      <alignment horizontal="center" vertical="center"/>
    </xf>
    <xf numFmtId="170" fontId="5" fillId="0" borderId="26" xfId="0" applyNumberFormat="1" applyFont="1" applyFill="1" applyBorder="1" applyAlignment="1">
      <alignment horizontal="center" vertical="center"/>
    </xf>
    <xf numFmtId="3" fontId="6" fillId="4" borderId="13" xfId="0" applyNumberFormat="1" applyFont="1" applyFill="1" applyBorder="1" applyAlignment="1">
      <alignment horizontal="center" vertical="center" wrapText="1"/>
    </xf>
    <xf numFmtId="0" fontId="9" fillId="0" borderId="0" xfId="0" applyFont="1"/>
    <xf numFmtId="4" fontId="5" fillId="4" borderId="27" xfId="0" applyNumberFormat="1" applyFont="1" applyFill="1" applyBorder="1" applyAlignment="1">
      <alignment horizontal="center" vertical="center"/>
    </xf>
    <xf numFmtId="4" fontId="5" fillId="4" borderId="25" xfId="0" applyNumberFormat="1" applyFont="1" applyFill="1" applyBorder="1" applyAlignment="1">
      <alignment horizontal="center" vertical="center"/>
    </xf>
    <xf numFmtId="164" fontId="5" fillId="4" borderId="19" xfId="0" applyNumberFormat="1" applyFont="1" applyFill="1" applyBorder="1" applyAlignment="1">
      <alignment horizontal="center" vertical="center"/>
    </xf>
    <xf numFmtId="4" fontId="5" fillId="4" borderId="24" xfId="0" applyNumberFormat="1" applyFont="1" applyFill="1" applyBorder="1" applyAlignment="1">
      <alignment horizontal="center" vertical="center"/>
    </xf>
    <xf numFmtId="164" fontId="13" fillId="4" borderId="24" xfId="0" applyNumberFormat="1" applyFont="1" applyFill="1" applyBorder="1" applyAlignment="1">
      <alignment horizontal="center" vertical="center"/>
    </xf>
    <xf numFmtId="4" fontId="5" fillId="4" borderId="38" xfId="0" applyNumberFormat="1" applyFont="1" applyFill="1" applyBorder="1" applyAlignment="1">
      <alignment horizontal="center" vertical="center"/>
    </xf>
    <xf numFmtId="4" fontId="5" fillId="4" borderId="35" xfId="0" applyNumberFormat="1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vertical="center" wrapText="1"/>
    </xf>
    <xf numFmtId="4" fontId="5" fillId="4" borderId="34" xfId="0" applyNumberFormat="1" applyFont="1" applyFill="1" applyBorder="1" applyAlignment="1">
      <alignment horizontal="center" vertical="center"/>
    </xf>
    <xf numFmtId="164" fontId="5" fillId="2" borderId="41" xfId="0" applyNumberFormat="1" applyFont="1" applyFill="1" applyBorder="1" applyAlignment="1">
      <alignment horizontal="center" vertical="center"/>
    </xf>
    <xf numFmtId="164" fontId="5" fillId="4" borderId="37" xfId="0" applyNumberFormat="1" applyFont="1" applyFill="1" applyBorder="1" applyAlignment="1">
      <alignment horizontal="center" vertical="center"/>
    </xf>
    <xf numFmtId="164" fontId="5" fillId="4" borderId="35" xfId="0" applyNumberFormat="1" applyFont="1" applyFill="1" applyBorder="1" applyAlignment="1">
      <alignment horizontal="center" vertical="center"/>
    </xf>
    <xf numFmtId="164" fontId="5" fillId="4" borderId="28" xfId="0" applyNumberFormat="1" applyFont="1" applyFill="1" applyBorder="1" applyAlignment="1">
      <alignment horizontal="center" vertical="center"/>
    </xf>
    <xf numFmtId="164" fontId="5" fillId="0" borderId="28" xfId="0" applyNumberFormat="1" applyFont="1" applyFill="1" applyBorder="1" applyAlignment="1">
      <alignment horizontal="center" vertical="center"/>
    </xf>
    <xf numFmtId="49" fontId="5" fillId="4" borderId="25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vertical="center" wrapText="1"/>
    </xf>
    <xf numFmtId="0" fontId="0" fillId="0" borderId="1" xfId="0" applyBorder="1"/>
    <xf numFmtId="0" fontId="0" fillId="0" borderId="14" xfId="0" applyBorder="1"/>
    <xf numFmtId="4" fontId="5" fillId="4" borderId="14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0" fillId="0" borderId="13" xfId="0" applyBorder="1"/>
    <xf numFmtId="164" fontId="5" fillId="4" borderId="1" xfId="0" applyNumberFormat="1" applyFont="1" applyFill="1" applyBorder="1" applyAlignment="1">
      <alignment horizontal="center" vertical="center"/>
    </xf>
    <xf numFmtId="164" fontId="5" fillId="4" borderId="20" xfId="0" applyNumberFormat="1" applyFont="1" applyFill="1" applyBorder="1" applyAlignment="1">
      <alignment horizontal="center" vertical="center"/>
    </xf>
    <xf numFmtId="164" fontId="5" fillId="4" borderId="15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5" fillId="0" borderId="12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/>
    </xf>
    <xf numFmtId="0" fontId="9" fillId="0" borderId="0" xfId="0" applyFont="1" applyFill="1"/>
    <xf numFmtId="164" fontId="0" fillId="0" borderId="0" xfId="0" applyNumberFormat="1"/>
    <xf numFmtId="0" fontId="0" fillId="0" borderId="0" xfId="0" applyFill="1" applyAlignment="1">
      <alignment horizontal="center"/>
    </xf>
    <xf numFmtId="4" fontId="0" fillId="0" borderId="0" xfId="0" quotePrefix="1" applyNumberFormat="1" applyAlignment="1">
      <alignment horizontal="center"/>
    </xf>
    <xf numFmtId="2" fontId="17" fillId="0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167" fontId="4" fillId="4" borderId="3" xfId="0" applyNumberFormat="1" applyFont="1" applyFill="1" applyBorder="1" applyAlignment="1">
      <alignment horizontal="center" vertical="center"/>
    </xf>
    <xf numFmtId="164" fontId="4" fillId="4" borderId="3" xfId="0" applyNumberFormat="1" applyFont="1" applyFill="1" applyBorder="1" applyAlignment="1">
      <alignment horizontal="center" vertical="center"/>
    </xf>
    <xf numFmtId="165" fontId="4" fillId="4" borderId="3" xfId="0" applyNumberFormat="1" applyFont="1" applyFill="1" applyBorder="1" applyAlignment="1">
      <alignment horizontal="center" vertical="center"/>
    </xf>
    <xf numFmtId="166" fontId="23" fillId="4" borderId="3" xfId="0" applyNumberFormat="1" applyFont="1" applyFill="1" applyBorder="1" applyAlignment="1">
      <alignment horizontal="center" vertical="center"/>
    </xf>
    <xf numFmtId="166" fontId="4" fillId="4" borderId="3" xfId="0" applyNumberFormat="1" applyFont="1" applyFill="1" applyBorder="1" applyAlignment="1">
      <alignment horizontal="center" vertical="center"/>
    </xf>
    <xf numFmtId="168" fontId="4" fillId="4" borderId="3" xfId="0" applyNumberFormat="1" applyFont="1" applyFill="1" applyBorder="1" applyAlignment="1">
      <alignment horizontal="center" vertical="center"/>
    </xf>
    <xf numFmtId="164" fontId="22" fillId="4" borderId="3" xfId="0" applyNumberFormat="1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22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2" fontId="17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/>
    <xf numFmtId="2" fontId="4" fillId="0" borderId="3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vertical="center" wrapText="1"/>
    </xf>
    <xf numFmtId="49" fontId="17" fillId="0" borderId="3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49" fontId="17" fillId="0" borderId="3" xfId="0" applyNumberFormat="1" applyFont="1" applyFill="1" applyBorder="1" applyAlignment="1">
      <alignment horizontal="center" vertical="center"/>
    </xf>
    <xf numFmtId="0" fontId="17" fillId="0" borderId="3" xfId="0" applyFont="1" applyFill="1" applyBorder="1"/>
    <xf numFmtId="0" fontId="18" fillId="0" borderId="3" xfId="0" applyFont="1" applyFill="1" applyBorder="1"/>
    <xf numFmtId="164" fontId="17" fillId="2" borderId="3" xfId="0" applyNumberFormat="1" applyFont="1" applyFill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165" fontId="21" fillId="0" borderId="3" xfId="2" applyNumberFormat="1" applyFont="1" applyBorder="1" applyAlignment="1">
      <alignment horizontal="center" vertical="center"/>
    </xf>
    <xf numFmtId="165" fontId="21" fillId="0" borderId="3" xfId="2" applyNumberFormat="1" applyFont="1" applyFill="1" applyBorder="1" applyAlignment="1">
      <alignment horizontal="center" vertical="center"/>
    </xf>
    <xf numFmtId="166" fontId="21" fillId="0" borderId="3" xfId="0" applyNumberFormat="1" applyFont="1" applyBorder="1" applyAlignment="1">
      <alignment horizontal="center" vertical="center"/>
    </xf>
    <xf numFmtId="165" fontId="21" fillId="0" borderId="3" xfId="1" applyNumberFormat="1" applyFont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vertical="center"/>
    </xf>
    <xf numFmtId="4" fontId="4" fillId="4" borderId="3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164" fontId="4" fillId="6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/>
    </xf>
    <xf numFmtId="0" fontId="18" fillId="0" borderId="3" xfId="0" applyFont="1" applyBorder="1"/>
    <xf numFmtId="168" fontId="23" fillId="4" borderId="3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vertical="center" wrapText="1"/>
    </xf>
    <xf numFmtId="0" fontId="24" fillId="4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3" fontId="17" fillId="0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 wrapText="1"/>
    </xf>
    <xf numFmtId="0" fontId="25" fillId="4" borderId="3" xfId="0" applyFont="1" applyFill="1" applyBorder="1"/>
    <xf numFmtId="2" fontId="17" fillId="0" borderId="3" xfId="0" applyNumberFormat="1" applyFont="1" applyFill="1" applyBorder="1" applyAlignment="1">
      <alignment horizontal="left"/>
    </xf>
    <xf numFmtId="2" fontId="17" fillId="0" borderId="3" xfId="0" applyNumberFormat="1" applyFont="1" applyFill="1" applyBorder="1" applyAlignment="1">
      <alignment horizontal="center"/>
    </xf>
    <xf numFmtId="49" fontId="25" fillId="0" borderId="3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right"/>
    </xf>
    <xf numFmtId="2" fontId="17" fillId="0" borderId="3" xfId="0" applyNumberFormat="1" applyFont="1" applyFill="1" applyBorder="1" applyAlignment="1">
      <alignment horizontal="left" vertical="center"/>
    </xf>
    <xf numFmtId="164" fontId="17" fillId="6" borderId="3" xfId="0" applyNumberFormat="1" applyFont="1" applyFill="1" applyBorder="1" applyAlignment="1">
      <alignment horizontal="center" vertical="center"/>
    </xf>
    <xf numFmtId="2" fontId="25" fillId="0" borderId="3" xfId="0" applyNumberFormat="1" applyFont="1" applyFill="1" applyBorder="1" applyAlignment="1">
      <alignment horizontal="right" vertical="center"/>
    </xf>
    <xf numFmtId="49" fontId="25" fillId="4" borderId="3" xfId="0" applyNumberFormat="1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right" vertical="center"/>
    </xf>
    <xf numFmtId="164" fontId="4" fillId="7" borderId="3" xfId="0" applyNumberFormat="1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horizontal="center" vertical="center"/>
    </xf>
    <xf numFmtId="164" fontId="6" fillId="0" borderId="13" xfId="0" applyNumberFormat="1" applyFont="1" applyFill="1" applyBorder="1" applyAlignment="1">
      <alignment horizontal="center" vertical="center"/>
    </xf>
    <xf numFmtId="170" fontId="6" fillId="0" borderId="26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1" builtinId="5"/>
    <cellStyle name="Процентный 3_Приложения ВинФ корр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2;&#1086;&#1088;&#1088;&#1077;&#1082;&#1090;&#1080;&#1088;.%20%202022%20%20&#1054;&#1054;&#1054;%20&#1040;&#1088;&#1093;&#1101;&#1085;&#1077;&#1088;&#1075;&#1080;&#1103;%20-%20&#1076;&#1083;&#1103;%20&#1088;&#1072;&#1089;&#1082;%20&#1080;&#1085;&#1092;&#1086;&#1088;&#1084;.%20-%20&#1082;&#1086;&#1087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iller/&#1091;&#1089;&#1083;&#1091;&#1075;&#1080;%20&#1087;&#1086;%20&#1087;&#1077;&#1088;&#1077;&#1076;&#1072;&#1095;&#1077;/2019/&#1040;&#1088;&#1093;&#1089;&#1074;&#1077;&#1090;/&#1056;&#1072;&#1089;&#1095;&#1077;&#1090;%20&#1055;&#1040;&#1054;%20&#1052;&#1056;&#1057;&#1050;%20&#1057;&#1077;&#1074;&#1077;&#1088;&#1086;-&#1047;&#1072;&#1087;&#1072;&#1076;&#1072;%20&#1087;&#1077;&#1088;&#1077;&#1076;&#1072;&#1095;&#1072;%202019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 протокол"/>
      <sheetName val="ИПЦ (базовый)"/>
      <sheetName val="корректир 2022"/>
      <sheetName val="Баланс элект энер."/>
      <sheetName val="кор. еад. и качест"/>
      <sheetName val="корректировки"/>
      <sheetName val="корректировки 2"/>
      <sheetName val="Отчет ТСО 2020"/>
      <sheetName val="кор. НИК"/>
      <sheetName val="усл ФСК"/>
      <sheetName val="потери ФСК"/>
      <sheetName val="УЕ П2.1 по орган."/>
      <sheetName val="УЕ П2.1"/>
      <sheetName val="УЕ П2.2 по орган."/>
      <sheetName val="УЕ П2.2"/>
      <sheetName val="амортиз 2020"/>
      <sheetName val="расчет амортиз 2022"/>
      <sheetName val="аренда  электрооб. 2020"/>
      <sheetName val="аренда элект 2022"/>
      <sheetName val="налог на имущ 2020"/>
      <sheetName val="оплата услуг 2019"/>
      <sheetName val="аренда офиса"/>
      <sheetName val="налог на миущ 2022"/>
      <sheetName val="госпошлина"/>
      <sheetName val="безнад списан. сч.91,2"/>
      <sheetName val="Госпошлина 2022"/>
      <sheetName val="баланс ээ"/>
      <sheetName val="аренда по торгам"/>
      <sheetName val="Сч.90.1 2020"/>
      <sheetName val="сч.20.1 2020"/>
      <sheetName val="Лист3"/>
      <sheetName val="Тран Нал."/>
    </sheetNames>
    <sheetDataSet>
      <sheetData sheetId="0"/>
      <sheetData sheetId="1">
        <row r="6">
          <cell r="E6">
            <v>103.863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3">
          <cell r="E23">
            <v>879325.57199999981</v>
          </cell>
        </row>
      </sheetData>
      <sheetData sheetId="10">
        <row r="21">
          <cell r="K21">
            <v>219510.84728790005</v>
          </cell>
        </row>
      </sheetData>
      <sheetData sheetId="11"/>
      <sheetData sheetId="12">
        <row r="54">
          <cell r="K54">
            <v>309.84480000000002</v>
          </cell>
          <cell r="M54">
            <v>324.41589999999997</v>
          </cell>
        </row>
      </sheetData>
      <sheetData sheetId="13"/>
      <sheetData sheetId="14"/>
      <sheetData sheetId="15">
        <row r="21">
          <cell r="H21">
            <v>2118102.9400793654</v>
          </cell>
        </row>
      </sheetData>
      <sheetData sheetId="16">
        <row r="22">
          <cell r="I22">
            <v>2350184.1666666665</v>
          </cell>
        </row>
      </sheetData>
      <sheetData sheetId="17">
        <row r="13">
          <cell r="R13">
            <v>450818</v>
          </cell>
        </row>
      </sheetData>
      <sheetData sheetId="18"/>
      <sheetData sheetId="19">
        <row r="25">
          <cell r="AA25">
            <v>551877.54999999993</v>
          </cell>
        </row>
      </sheetData>
      <sheetData sheetId="20">
        <row r="24">
          <cell r="G24">
            <v>44858.542510896768</v>
          </cell>
        </row>
      </sheetData>
      <sheetData sheetId="21">
        <row r="3">
          <cell r="E3">
            <v>118296.32270893911</v>
          </cell>
          <cell r="F3">
            <v>145365.31736259817</v>
          </cell>
        </row>
      </sheetData>
      <sheetData sheetId="22">
        <row r="59">
          <cell r="I59">
            <v>518586.8025799999</v>
          </cell>
        </row>
      </sheetData>
      <sheetData sheetId="23">
        <row r="20">
          <cell r="H20">
            <v>48300</v>
          </cell>
        </row>
      </sheetData>
      <sheetData sheetId="24">
        <row r="14">
          <cell r="E14">
            <v>218256.47</v>
          </cell>
        </row>
      </sheetData>
      <sheetData sheetId="25">
        <row r="5">
          <cell r="C5">
            <v>71200</v>
          </cell>
        </row>
      </sheetData>
      <sheetData sheetId="26"/>
      <sheetData sheetId="27"/>
      <sheetData sheetId="28"/>
      <sheetData sheetId="29">
        <row r="18">
          <cell r="E18">
            <v>116092.26</v>
          </cell>
        </row>
      </sheetData>
      <sheetData sheetId="30"/>
      <sheetData sheetId="31">
        <row r="6">
          <cell r="Z6">
            <v>819</v>
          </cell>
        </row>
        <row r="14">
          <cell r="Z14">
            <v>273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фляторы"/>
      <sheetName val="% по кредитам 2015"/>
      <sheetName val="ИНДЕКС 2014-2018"/>
      <sheetName val="В протокол"/>
      <sheetName val="ФСК"/>
      <sheetName val="Корректировки"/>
      <sheetName val="Кор по потерям"/>
      <sheetName val="Кор. ПР 2017"/>
      <sheetName val="Отчет ТСО"/>
      <sheetName val="Над. и кач.2015"/>
      <sheetName val="585"/>
      <sheetName val="Налог на зем"/>
      <sheetName val="Налог на имущ"/>
      <sheetName val="ТН"/>
      <sheetName val="ВН"/>
      <sheetName val="ГП"/>
      <sheetName val="Энергия"/>
      <sheetName val="КУ 2017"/>
      <sheetName val="Аренда"/>
      <sheetName val="Аренда зем"/>
      <sheetName val="Налог на землю"/>
      <sheetName val="Транспортный"/>
      <sheetName val="Налог на имущ 2018"/>
      <sheetName val="Госпошлина"/>
      <sheetName val="Водный налог 2018"/>
      <sheetName val="ФСК 2018"/>
      <sheetName val="Энергия хознужды 2018"/>
      <sheetName val="КУ 2018"/>
      <sheetName val="Амортизация 2018"/>
      <sheetName val="1.ИПЦ (базовый)"/>
      <sheetName val="Дефляторы (баз.)"/>
      <sheetName val="УЕ 2.1"/>
      <sheetName val="УЕ 2.2"/>
      <sheetName val="Ам 2019"/>
      <sheetName val="Ам упр. 2019"/>
      <sheetName val="ЗН 2019"/>
      <sheetName val="ТН 2019"/>
      <sheetName val="ВН 2019"/>
      <sheetName val="НИ 2019"/>
      <sheetName val="НВОС 2019"/>
      <sheetName val="ГП 2019"/>
      <sheetName val="ФСК 2019"/>
      <sheetName val="ПР ЭОР"/>
      <sheetName val="ФОТ 2019"/>
      <sheetName val="IT-услуги"/>
      <sheetName val="Прочие УСО дог."/>
      <sheetName val="Прочие УСО"/>
      <sheetName val="Ремонт 2019"/>
      <sheetName val="Ремонт 2016 факт"/>
      <sheetName val="Ремонт 2017 факт"/>
      <sheetName val="OPEX"/>
      <sheetName val="Прил. № 1 МУ 421-э"/>
      <sheetName val="НиК план"/>
      <sheetName val="Форма 8.1 1256 2015"/>
      <sheetName val="8.1 718 2015"/>
      <sheetName val="Форма 8.1 1256 2016"/>
      <sheetName val="8.3 2015"/>
      <sheetName val="8.1 718 2016"/>
      <sheetName val="8.3 2016"/>
      <sheetName val="Форма 8.1 1256 2017"/>
      <sheetName val="8.3 2017"/>
      <sheetName val="Уровень потерь"/>
      <sheetName val="Управленческие расходы"/>
      <sheetName val="Аренда ЭСИ факт 2017"/>
      <sheetName val="Аренда ЭСИ свод 2017"/>
      <sheetName val="Аренда ЭСИ план 2019"/>
      <sheetName val="Аренда ЭСИ свод 2019"/>
      <sheetName val="Аренда пом факт 2017"/>
      <sheetName val="Аренда пом 2016"/>
      <sheetName val="Свод аренды пом 2016"/>
      <sheetName val="Аренда ЭСИ 2016"/>
      <sheetName val="Свод аренды ЭСИ 2016"/>
      <sheetName val="Общий свод по аренде 2016"/>
      <sheetName val="Аренда ЭСИ 2018"/>
      <sheetName val="Аренда пом 2018"/>
      <sheetName val="Свод аренды пом 2018"/>
      <sheetName val="Аренда пом свод 2017"/>
      <sheetName val="Аренда пом план 2019"/>
      <sheetName val="Факт ИПР 2015"/>
      <sheetName val="Аренда ЭСИ 2018 доп"/>
      <sheetName val="Общий свод по аренде 2018"/>
      <sheetName val="Факт ИПР 2016"/>
      <sheetName val="Кор.факт.данн."/>
      <sheetName val="Индекс"/>
      <sheetName val="Индекс (2)"/>
      <sheetName val="Индекс (3)"/>
      <sheetName val="плата ФСК"/>
      <sheetName val="У.Е.1"/>
      <sheetName val="У.Е.2"/>
      <sheetName val="2014-2018"/>
      <sheetName val="ФОТ"/>
      <sheetName val="кор. ПР"/>
      <sheetName val="Резерв"/>
      <sheetName val="проценты по кредитам"/>
      <sheetName val="амортизация 2013"/>
      <sheetName val="выпадающие 2014"/>
      <sheetName val=" страхование"/>
      <sheetName val="прочие услуги стор.орг."/>
      <sheetName val="прочие расходы"/>
      <sheetName val="корр. по ПР и НР 2012 г"/>
      <sheetName val="амортизация 2016"/>
      <sheetName val="Госпошлина 2016"/>
      <sheetName val="Транспортный налог 2016"/>
      <sheetName val="водный налог 2016"/>
      <sheetName val="Земельный налог 2016"/>
      <sheetName val="Налог на имущ 2016"/>
      <sheetName val="вспомогат.материалы"/>
      <sheetName val="работы и услуги пр."/>
      <sheetName val="транспортный налог"/>
      <sheetName val="водный налог"/>
      <sheetName val="земельный налог"/>
      <sheetName val="КУ"/>
      <sheetName val="КУ2016"/>
      <sheetName val="ЭЭ и ТЭ хознужды 2016"/>
      <sheetName val="налог на имущество"/>
      <sheetName val="ФСК 2016"/>
      <sheetName val="аренда земли"/>
      <sheetName val="аренда имущества"/>
      <sheetName val="20 сч."/>
      <sheetName val="расчет потерь №674 от 30.09.14"/>
      <sheetName val="46-ээ"/>
      <sheetName val="ИП"/>
      <sheetName val="ЛТП на 2015"/>
      <sheetName val="Накладные расходы"/>
      <sheetName val="Лист2"/>
      <sheetName val="Лист1"/>
      <sheetName val="Прочая аренда"/>
      <sheetName val="Аренда ЭХ"/>
      <sheetName val="Факт 2014"/>
      <sheetName val="Аренда пом свод 2019"/>
      <sheetName val="Прочая аренда факт 2017"/>
      <sheetName val="Прочая аренда свод 2017"/>
      <sheetName val="Прочая аренда план 2019"/>
      <sheetName val="Прочая аренда свод 2019"/>
      <sheetName val="Аренда ЗУ 2017"/>
      <sheetName val="Аренда 25 лз 2019"/>
      <sheetName val="Расчет аренды 25 лз 2019"/>
      <sheetName val="Аренда пом. упр. 2019"/>
      <sheetName val="Аренда пом. упр. 2019 свод"/>
      <sheetName val="Расшифровка РСД"/>
      <sheetName val="Анализ финансирования ИП 2017"/>
      <sheetName val="Анализ освоения ИП 2017"/>
      <sheetName val="Источники утв ИП"/>
      <sheetName val="202-э за 2017"/>
      <sheetName val="201-э_2017"/>
      <sheetName val="Доходы-расходы"/>
      <sheetName val="Прочие доходы факт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29">
          <cell r="D229">
            <v>-21735.408859999996</v>
          </cell>
        </row>
      </sheetData>
      <sheetData sheetId="9" refreshError="1"/>
      <sheetData sheetId="10" refreshError="1">
        <row r="26">
          <cell r="G26">
            <v>7853.1035807757817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24">
          <cell r="G24">
            <v>68268.521865334522</v>
          </cell>
        </row>
      </sheetData>
      <sheetData sheetId="23" refreshError="1"/>
      <sheetData sheetId="24" refreshError="1"/>
      <sheetData sheetId="25" refreshError="1">
        <row r="22">
          <cell r="Q22">
            <v>558277.64706403483</v>
          </cell>
        </row>
      </sheetData>
      <sheetData sheetId="26" refreshError="1"/>
      <sheetData sheetId="27" refreshError="1">
        <row r="10">
          <cell r="H10">
            <v>2526.0172925771867</v>
          </cell>
        </row>
      </sheetData>
      <sheetData sheetId="28" refreshError="1">
        <row r="25548">
          <cell r="B25548">
            <v>457902.54036000004</v>
          </cell>
          <cell r="G25548">
            <v>451766.80679944356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C75"/>
  <sheetViews>
    <sheetView tabSelected="1" topLeftCell="A16" workbookViewId="0">
      <selection activeCell="AU36" sqref="AU36"/>
    </sheetView>
  </sheetViews>
  <sheetFormatPr defaultRowHeight="15" x14ac:dyDescent="0.25"/>
  <cols>
    <col min="1" max="1" width="7.5703125" style="5" customWidth="1"/>
    <col min="2" max="2" width="64.28515625" customWidth="1"/>
    <col min="3" max="3" width="16.42578125" style="5" hidden="1" customWidth="1"/>
    <col min="4" max="4" width="16.28515625" style="5" hidden="1" customWidth="1"/>
    <col min="5" max="5" width="16.85546875" style="5" hidden="1" customWidth="1"/>
    <col min="6" max="6" width="13.85546875" style="5" hidden="1" customWidth="1"/>
    <col min="7" max="7" width="14.85546875" style="5" hidden="1" customWidth="1"/>
    <col min="8" max="8" width="18.28515625" style="5" hidden="1" customWidth="1"/>
    <col min="9" max="9" width="14.42578125" style="5" hidden="1" customWidth="1"/>
    <col min="10" max="13" width="14.28515625" style="5" hidden="1" customWidth="1"/>
    <col min="14" max="14" width="16.28515625" style="5" hidden="1" customWidth="1"/>
    <col min="15" max="15" width="14.28515625" style="5" hidden="1" customWidth="1"/>
    <col min="16" max="16" width="16.5703125" style="5" hidden="1" customWidth="1"/>
    <col min="17" max="19" width="16.85546875" style="5" hidden="1" customWidth="1"/>
    <col min="20" max="22" width="14.7109375" style="5" hidden="1" customWidth="1"/>
    <col min="23" max="23" width="13.85546875" style="5" hidden="1" customWidth="1"/>
    <col min="24" max="25" width="15.85546875" style="5" hidden="1" customWidth="1"/>
    <col min="26" max="26" width="15.42578125" style="5" hidden="1" customWidth="1"/>
    <col min="27" max="37" width="15.85546875" style="5" hidden="1" customWidth="1"/>
    <col min="38" max="38" width="47" style="5" customWidth="1"/>
    <col min="39" max="39" width="15.85546875" style="5" hidden="1" customWidth="1"/>
    <col min="40" max="40" width="19.140625" style="5" hidden="1" customWidth="1"/>
    <col min="41" max="41" width="11.85546875" style="5" hidden="1" customWidth="1"/>
    <col min="42" max="42" width="61.28515625" style="5" hidden="1" customWidth="1"/>
    <col min="43" max="43" width="10.5703125" style="2" hidden="1" customWidth="1"/>
    <col min="44" max="44" width="1.85546875" style="2" hidden="1" customWidth="1"/>
    <col min="45" max="107" width="9.140625" style="2"/>
  </cols>
  <sheetData>
    <row r="1" spans="1:107" ht="30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107" ht="16.5" thickBot="1" x14ac:dyDescent="0.3">
      <c r="A2" s="3"/>
      <c r="B2" s="3"/>
      <c r="C2" s="4"/>
      <c r="D2" s="4"/>
      <c r="E2" s="4"/>
      <c r="G2" s="4"/>
      <c r="H2" s="4"/>
      <c r="I2" s="4"/>
      <c r="J2" s="4"/>
      <c r="K2" s="6"/>
      <c r="L2" s="6"/>
      <c r="M2" s="6"/>
      <c r="N2" s="6"/>
      <c r="O2" s="6"/>
      <c r="P2" s="6"/>
      <c r="Q2" s="6"/>
      <c r="R2" s="6"/>
      <c r="S2" s="6"/>
      <c r="T2" s="4"/>
      <c r="AP2" s="7" t="s">
        <v>1</v>
      </c>
    </row>
    <row r="3" spans="1:107" ht="27.75" customHeight="1" x14ac:dyDescent="0.25">
      <c r="A3" s="155" t="s">
        <v>2</v>
      </c>
      <c r="B3" s="156" t="s">
        <v>3</v>
      </c>
      <c r="C3" s="139" t="s">
        <v>4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57"/>
      <c r="AH3" s="157"/>
      <c r="AI3" s="139" t="s">
        <v>134</v>
      </c>
      <c r="AJ3" s="139"/>
      <c r="AK3" s="139"/>
      <c r="AL3" s="139"/>
      <c r="AM3" s="139"/>
      <c r="AN3" s="8" t="s">
        <v>5</v>
      </c>
      <c r="AO3" s="9"/>
      <c r="AP3" s="10" t="s">
        <v>6</v>
      </c>
    </row>
    <row r="4" spans="1:107" ht="27.75" customHeight="1" thickBot="1" x14ac:dyDescent="0.3">
      <c r="A4" s="155"/>
      <c r="B4" s="156"/>
      <c r="C4" s="139" t="s">
        <v>7</v>
      </c>
      <c r="D4" s="158"/>
      <c r="E4" s="139"/>
      <c r="F4" s="139" t="s">
        <v>8</v>
      </c>
      <c r="G4" s="139"/>
      <c r="H4" s="139"/>
      <c r="I4" s="139"/>
      <c r="J4" s="139"/>
      <c r="K4" s="139"/>
      <c r="L4" s="139"/>
      <c r="M4" s="139"/>
      <c r="N4" s="139"/>
      <c r="O4" s="139" t="s">
        <v>9</v>
      </c>
      <c r="P4" s="139"/>
      <c r="Q4" s="139"/>
      <c r="R4" s="139"/>
      <c r="S4" s="139"/>
      <c r="T4" s="159" t="s">
        <v>10</v>
      </c>
      <c r="U4" s="159"/>
      <c r="V4" s="159" t="s">
        <v>11</v>
      </c>
      <c r="W4" s="158"/>
      <c r="X4" s="139" t="s">
        <v>12</v>
      </c>
      <c r="Y4" s="139"/>
      <c r="Z4" s="139"/>
      <c r="AA4" s="139"/>
      <c r="AB4" s="139"/>
      <c r="AC4" s="139"/>
      <c r="AD4" s="160" t="s">
        <v>13</v>
      </c>
      <c r="AE4" s="161" t="s">
        <v>13</v>
      </c>
      <c r="AF4" s="161"/>
      <c r="AG4" s="161"/>
      <c r="AH4" s="161"/>
      <c r="AI4" s="139"/>
      <c r="AJ4" s="139"/>
      <c r="AK4" s="139"/>
      <c r="AL4" s="139"/>
      <c r="AM4" s="139"/>
      <c r="AN4" s="11"/>
      <c r="AO4" s="12"/>
      <c r="AP4" s="13"/>
    </row>
    <row r="5" spans="1:107" ht="58.5" customHeight="1" thickBot="1" x14ac:dyDescent="0.3">
      <c r="A5" s="155"/>
      <c r="B5" s="162"/>
      <c r="C5" s="163" t="s">
        <v>14</v>
      </c>
      <c r="D5" s="164" t="s">
        <v>15</v>
      </c>
      <c r="E5" s="163" t="s">
        <v>16</v>
      </c>
      <c r="F5" s="163" t="s">
        <v>15</v>
      </c>
      <c r="G5" s="163" t="s">
        <v>17</v>
      </c>
      <c r="H5" s="163" t="s">
        <v>18</v>
      </c>
      <c r="I5" s="163" t="s">
        <v>19</v>
      </c>
      <c r="J5" s="163" t="s">
        <v>15</v>
      </c>
      <c r="K5" s="163" t="s">
        <v>20</v>
      </c>
      <c r="L5" s="163" t="s">
        <v>21</v>
      </c>
      <c r="M5" s="163" t="s">
        <v>22</v>
      </c>
      <c r="N5" s="163" t="s">
        <v>23</v>
      </c>
      <c r="O5" s="163" t="s">
        <v>14</v>
      </c>
      <c r="P5" s="163" t="s">
        <v>24</v>
      </c>
      <c r="Q5" s="163" t="s">
        <v>25</v>
      </c>
      <c r="R5" s="163" t="s">
        <v>21</v>
      </c>
      <c r="S5" s="163" t="s">
        <v>23</v>
      </c>
      <c r="T5" s="163" t="s">
        <v>15</v>
      </c>
      <c r="U5" s="163" t="s">
        <v>20</v>
      </c>
      <c r="V5" s="163" t="s">
        <v>15</v>
      </c>
      <c r="W5" s="163" t="s">
        <v>20</v>
      </c>
      <c r="X5" s="163" t="s">
        <v>26</v>
      </c>
      <c r="Y5" s="140" t="s">
        <v>27</v>
      </c>
      <c r="Z5" s="165" t="s">
        <v>28</v>
      </c>
      <c r="AA5" s="165" t="s">
        <v>29</v>
      </c>
      <c r="AB5" s="165" t="s">
        <v>30</v>
      </c>
      <c r="AC5" s="165" t="s">
        <v>31</v>
      </c>
      <c r="AD5" s="165" t="s">
        <v>26</v>
      </c>
      <c r="AE5" s="165" t="s">
        <v>28</v>
      </c>
      <c r="AF5" s="165" t="s">
        <v>29</v>
      </c>
      <c r="AG5" s="165" t="s">
        <v>30</v>
      </c>
      <c r="AH5" s="165" t="s">
        <v>31</v>
      </c>
      <c r="AI5" s="139"/>
      <c r="AJ5" s="139"/>
      <c r="AK5" s="139"/>
      <c r="AL5" s="139"/>
      <c r="AM5" s="139"/>
      <c r="AN5" s="14" t="s">
        <v>32</v>
      </c>
      <c r="AO5" s="15" t="s">
        <v>33</v>
      </c>
      <c r="AP5" s="16"/>
    </row>
    <row r="6" spans="1:107" s="22" customFormat="1" ht="24" customHeight="1" thickBot="1" x14ac:dyDescent="0.3">
      <c r="A6" s="166"/>
      <c r="B6" s="167" t="s">
        <v>34</v>
      </c>
      <c r="C6" s="149">
        <v>3592891.1363470908</v>
      </c>
      <c r="D6" s="149">
        <v>6803764.4926668461</v>
      </c>
      <c r="E6" s="149">
        <v>3670344.6330742287</v>
      </c>
      <c r="F6" s="149">
        <v>5544345.2291860003</v>
      </c>
      <c r="G6" s="149">
        <v>3213634.080457815</v>
      </c>
      <c r="H6" s="149">
        <v>5091113.7982615987</v>
      </c>
      <c r="I6" s="149">
        <v>3491967.6999999969</v>
      </c>
      <c r="J6" s="168" t="e">
        <f>J7+J20+J44+#REF!</f>
        <v>#REF!</v>
      </c>
      <c r="K6" s="168" t="e">
        <f>K7+K20+K44+#REF!</f>
        <v>#REF!</v>
      </c>
      <c r="L6" s="149" t="e">
        <f>L7+L20+L44+#REF!</f>
        <v>#REF!</v>
      </c>
      <c r="M6" s="149" t="e">
        <f>M7+M20+M44+#REF!</f>
        <v>#REF!</v>
      </c>
      <c r="N6" s="149" t="e">
        <f>N7+N20+N44+#REF!</f>
        <v>#REF!</v>
      </c>
      <c r="O6" s="149">
        <v>3333751.412394823</v>
      </c>
      <c r="P6" s="149">
        <v>4805848.1490464462</v>
      </c>
      <c r="Q6" s="149">
        <v>3604121.3825235618</v>
      </c>
      <c r="R6" s="149" t="e">
        <f>R7+R20+R44+#REF!</f>
        <v>#REF!</v>
      </c>
      <c r="S6" s="149" t="e">
        <f>S7+S20+S44+#REF!</f>
        <v>#REF!</v>
      </c>
      <c r="T6" s="168" t="e">
        <f>T7+T20+T44</f>
        <v>#REF!</v>
      </c>
      <c r="U6" s="149" t="e">
        <f>U7+U20+U44</f>
        <v>#REF!</v>
      </c>
      <c r="V6" s="149" t="e">
        <f>V7+V20+V44</f>
        <v>#REF!</v>
      </c>
      <c r="W6" s="149" t="e">
        <f>W7+W20+W44</f>
        <v>#REF!</v>
      </c>
      <c r="X6" s="149" t="e">
        <f>X7+X20+X44+#REF!</f>
        <v>#REF!</v>
      </c>
      <c r="Y6" s="149" t="e">
        <f>Y7+Y20+#REF!</f>
        <v>#REF!</v>
      </c>
      <c r="Z6" s="149" t="e">
        <f>Z7+Z20+#REF!</f>
        <v>#REF!</v>
      </c>
      <c r="AA6" s="149" t="e">
        <f>AA7+AA20+AA44+#REF!</f>
        <v>#REF!</v>
      </c>
      <c r="AB6" s="149" t="e">
        <f>AB7+AB20+AB44+#REF!</f>
        <v>#REF!</v>
      </c>
      <c r="AC6" s="149" t="e">
        <f>AC7+AC20+AC44+#REF!</f>
        <v>#REF!</v>
      </c>
      <c r="AD6" s="149" t="e">
        <f>AD7+AD20+AD44+#REF!</f>
        <v>#REF!</v>
      </c>
      <c r="AE6" s="149" t="e">
        <f>AE7+AE20+AE44+#REF!</f>
        <v>#REF!</v>
      </c>
      <c r="AF6" s="149" t="e">
        <f>AF7+AF20+AF44+#REF!</f>
        <v>#REF!</v>
      </c>
      <c r="AG6" s="149">
        <f>AG7+AG20</f>
        <v>14753.650999999998</v>
      </c>
      <c r="AH6" s="149"/>
      <c r="AI6" s="149" t="e">
        <f>AI7+AI20+AI44+#REF!</f>
        <v>#REF!</v>
      </c>
      <c r="AJ6" s="149" t="e">
        <f>AJ7+AJ20+#REF!</f>
        <v>#REF!</v>
      </c>
      <c r="AK6" s="149" t="e">
        <f>AK7+AK20+AK44+#REF!</f>
        <v>#REF!</v>
      </c>
      <c r="AL6" s="149">
        <f>AL7+AL20</f>
        <v>22708.360166666665</v>
      </c>
      <c r="AM6" s="169" t="e">
        <f>AM7+AM20+AM44+#REF!</f>
        <v>#REF!</v>
      </c>
      <c r="AN6" s="153" t="e">
        <f>AM6/AJ6</f>
        <v>#REF!</v>
      </c>
      <c r="AO6" s="18" t="e">
        <f>AF6/AA6</f>
        <v>#REF!</v>
      </c>
      <c r="AP6" s="19" t="s">
        <v>35</v>
      </c>
      <c r="AQ6" s="20"/>
      <c r="AR6"/>
      <c r="AS6" s="21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</row>
    <row r="7" spans="1:107" s="22" customFormat="1" ht="25.5" customHeight="1" thickBot="1" x14ac:dyDescent="0.3">
      <c r="A7" s="166">
        <v>1</v>
      </c>
      <c r="B7" s="167" t="s">
        <v>36</v>
      </c>
      <c r="C7" s="149">
        <v>1659901.4716072346</v>
      </c>
      <c r="D7" s="149">
        <v>2862179.4000000004</v>
      </c>
      <c r="E7" s="149">
        <v>1904914.4000000001</v>
      </c>
      <c r="F7" s="149">
        <v>2978069.0439060004</v>
      </c>
      <c r="G7" s="149">
        <v>1723088.8690007899</v>
      </c>
      <c r="H7" s="149">
        <v>1734249.5442382451</v>
      </c>
      <c r="I7" s="149">
        <v>1769901.3220073001</v>
      </c>
      <c r="J7" s="168">
        <f>J13+J14+J15+J16</f>
        <v>3098651.0594937541</v>
      </c>
      <c r="K7" s="149">
        <f>K13+K14+K15+K16</f>
        <v>1427434.2803855659</v>
      </c>
      <c r="L7" s="149">
        <f t="shared" ref="L7:AE7" si="0">L13+L14+L15+L16</f>
        <v>2014880.9673265049</v>
      </c>
      <c r="M7" s="149">
        <f t="shared" si="0"/>
        <v>2014880.9673265049</v>
      </c>
      <c r="N7" s="149">
        <f t="shared" si="0"/>
        <v>2014880.9673265049</v>
      </c>
      <c r="O7" s="149">
        <v>1787493.4752667421</v>
      </c>
      <c r="P7" s="149">
        <v>1839548.5274645255</v>
      </c>
      <c r="Q7" s="149">
        <v>1871596.3634949033</v>
      </c>
      <c r="R7" s="149">
        <f t="shared" si="0"/>
        <v>2126565.4</v>
      </c>
      <c r="S7" s="149">
        <f t="shared" si="0"/>
        <v>2126565.4</v>
      </c>
      <c r="T7" s="168">
        <f t="shared" si="0"/>
        <v>3224115.4408926559</v>
      </c>
      <c r="U7" s="149">
        <f t="shared" si="0"/>
        <v>1481265.3341604937</v>
      </c>
      <c r="V7" s="149">
        <f t="shared" si="0"/>
        <v>3354659.8750943989</v>
      </c>
      <c r="W7" s="149">
        <f t="shared" si="0"/>
        <v>1536408.7448021492</v>
      </c>
      <c r="X7" s="149">
        <f>X13+X14+X15+X16</f>
        <v>-512803041.68350047</v>
      </c>
      <c r="Y7" s="149">
        <f>SUM(Y13:Y16)</f>
        <v>4686.7</v>
      </c>
      <c r="Z7" s="149">
        <f t="shared" si="0"/>
        <v>4909.4709557459955</v>
      </c>
      <c r="AA7" s="149">
        <f t="shared" si="0"/>
        <v>4909.4709557459955</v>
      </c>
      <c r="AB7" s="149">
        <f t="shared" si="0"/>
        <v>6903.9733999999999</v>
      </c>
      <c r="AC7" s="149">
        <f t="shared" si="0"/>
        <v>6558.9689400000007</v>
      </c>
      <c r="AD7" s="149">
        <v>2019435.8</v>
      </c>
      <c r="AE7" s="149">
        <f t="shared" si="0"/>
        <v>5006.1875335741915</v>
      </c>
      <c r="AF7" s="149">
        <f>AF13+AF14+AF15+AF16</f>
        <v>5006.1875335741915</v>
      </c>
      <c r="AG7" s="149">
        <f>SUM(AG13:AG16)</f>
        <v>5426.7</v>
      </c>
      <c r="AH7" s="149"/>
      <c r="AI7" s="149">
        <f>AI13+AI14+AI15+AI16</f>
        <v>12691.9</v>
      </c>
      <c r="AJ7" s="149">
        <f>AJ13+AJ14+AJ15+AJ16</f>
        <v>7751.04223012281</v>
      </c>
      <c r="AK7" s="149">
        <f t="shared" ref="AK7:AM7" si="1">AK13+AK14+AK15+AK16</f>
        <v>0</v>
      </c>
      <c r="AL7" s="150">
        <f t="shared" si="1"/>
        <v>13328.776</v>
      </c>
      <c r="AM7" s="169">
        <f t="shared" si="1"/>
        <v>8084.3752376260145</v>
      </c>
      <c r="AN7" s="153">
        <f t="shared" ref="AN7:AN63" si="2">AM7/AJ7</f>
        <v>1.0430049272867816</v>
      </c>
      <c r="AO7" s="18">
        <f>AF7/AA7</f>
        <v>1.0197000000000001</v>
      </c>
      <c r="AP7" s="24" t="s">
        <v>37</v>
      </c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</row>
    <row r="8" spans="1:107" ht="32.25" customHeight="1" thickBot="1" x14ac:dyDescent="0.3">
      <c r="A8" s="170"/>
      <c r="B8" s="171" t="s">
        <v>38</v>
      </c>
      <c r="C8" s="171"/>
      <c r="D8" s="171"/>
      <c r="E8" s="147"/>
      <c r="F8" s="172">
        <v>1.0509999999999999</v>
      </c>
      <c r="G8" s="172">
        <v>1.0469999999999999</v>
      </c>
      <c r="H8" s="172">
        <v>1.0469999999999999</v>
      </c>
      <c r="I8" s="172">
        <v>1.0669999999999999</v>
      </c>
      <c r="J8" s="172">
        <v>1.0509999999999999</v>
      </c>
      <c r="K8" s="172">
        <f>G8</f>
        <v>1.0469999999999999</v>
      </c>
      <c r="L8" s="172"/>
      <c r="M8" s="172"/>
      <c r="N8" s="172"/>
      <c r="O8" s="172">
        <v>1.0469999999999999</v>
      </c>
      <c r="P8" s="172">
        <v>1.044</v>
      </c>
      <c r="Q8" s="172">
        <v>1.0740000000000001</v>
      </c>
      <c r="R8" s="172"/>
      <c r="S8" s="172"/>
      <c r="T8" s="173">
        <v>1.0509999999999999</v>
      </c>
      <c r="U8" s="173">
        <f>K8</f>
        <v>1.0469999999999999</v>
      </c>
      <c r="V8" s="173">
        <v>1.0509999999999999</v>
      </c>
      <c r="W8" s="173">
        <f>U8</f>
        <v>1.0469999999999999</v>
      </c>
      <c r="X8" s="172">
        <v>1.0580000000000001</v>
      </c>
      <c r="Y8" s="172">
        <v>1.04</v>
      </c>
      <c r="Z8" s="174">
        <v>1.0369999999999999</v>
      </c>
      <c r="AA8" s="172">
        <v>1.0469999999999999</v>
      </c>
      <c r="AB8" s="172"/>
      <c r="AC8" s="172"/>
      <c r="AD8" s="172"/>
      <c r="AE8" s="175">
        <v>1.03</v>
      </c>
      <c r="AF8" s="176">
        <f t="shared" ref="AF8:AF16" si="3">AE8</f>
        <v>1.03</v>
      </c>
      <c r="AG8" s="176"/>
      <c r="AH8" s="176"/>
      <c r="AI8" s="176"/>
      <c r="AJ8" s="174">
        <v>1.03</v>
      </c>
      <c r="AK8" s="176"/>
      <c r="AL8" s="177">
        <v>1.04</v>
      </c>
      <c r="AM8" s="174">
        <f>'[1]ИПЦ (базовый)'!E6/100</f>
        <v>1.0386299999999999</v>
      </c>
      <c r="AN8" s="154" t="s">
        <v>39</v>
      </c>
      <c r="AO8" s="26"/>
      <c r="AP8" s="27" t="s">
        <v>40</v>
      </c>
    </row>
    <row r="9" spans="1:107" ht="24" customHeight="1" thickBot="1" x14ac:dyDescent="0.3">
      <c r="A9" s="178"/>
      <c r="B9" s="179" t="s">
        <v>41</v>
      </c>
      <c r="C9" s="141"/>
      <c r="D9" s="141"/>
      <c r="E9" s="147"/>
      <c r="F9" s="141">
        <v>0</v>
      </c>
      <c r="G9" s="141">
        <v>0.75</v>
      </c>
      <c r="H9" s="141">
        <v>0.75</v>
      </c>
      <c r="I9" s="141">
        <v>0.75</v>
      </c>
      <c r="J9" s="141">
        <f>F9</f>
        <v>0</v>
      </c>
      <c r="K9" s="141">
        <f>G9</f>
        <v>0.75</v>
      </c>
      <c r="L9" s="141"/>
      <c r="M9" s="141"/>
      <c r="N9" s="141"/>
      <c r="O9" s="141">
        <v>0.75</v>
      </c>
      <c r="P9" s="141">
        <v>0.75</v>
      </c>
      <c r="Q9" s="141">
        <v>0.75</v>
      </c>
      <c r="R9" s="141"/>
      <c r="S9" s="141"/>
      <c r="T9" s="141">
        <f>F9</f>
        <v>0</v>
      </c>
      <c r="U9" s="141">
        <f>G9</f>
        <v>0.75</v>
      </c>
      <c r="V9" s="141">
        <f>F9</f>
        <v>0</v>
      </c>
      <c r="W9" s="141">
        <f>G9</f>
        <v>0.75</v>
      </c>
      <c r="X9" s="141">
        <f>Q9</f>
        <v>0.75</v>
      </c>
      <c r="Y9" s="141">
        <v>0.75</v>
      </c>
      <c r="Z9" s="180">
        <f>Q9</f>
        <v>0.75</v>
      </c>
      <c r="AA9" s="141">
        <f>Z9</f>
        <v>0.75</v>
      </c>
      <c r="AB9" s="141"/>
      <c r="AC9" s="141"/>
      <c r="AD9" s="180">
        <v>0.75</v>
      </c>
      <c r="AE9" s="180">
        <v>0.75</v>
      </c>
      <c r="AF9" s="141">
        <f t="shared" si="3"/>
        <v>0.75</v>
      </c>
      <c r="AG9" s="141"/>
      <c r="AH9" s="141"/>
      <c r="AI9" s="180"/>
      <c r="AJ9" s="180">
        <v>0.75</v>
      </c>
      <c r="AK9" s="180"/>
      <c r="AL9" s="180">
        <v>0.75</v>
      </c>
      <c r="AM9" s="180">
        <v>0.75</v>
      </c>
      <c r="AN9" s="154" t="s">
        <v>39</v>
      </c>
      <c r="AO9" s="29"/>
      <c r="AP9" s="30" t="s">
        <v>42</v>
      </c>
    </row>
    <row r="10" spans="1:107" ht="22.5" customHeight="1" thickBot="1" x14ac:dyDescent="0.3">
      <c r="A10" s="178"/>
      <c r="B10" s="179" t="s">
        <v>43</v>
      </c>
      <c r="C10" s="142">
        <v>103285</v>
      </c>
      <c r="D10" s="142">
        <v>141272</v>
      </c>
      <c r="E10" s="147">
        <v>103941</v>
      </c>
      <c r="F10" s="142">
        <v>141476</v>
      </c>
      <c r="G10" s="142">
        <v>103489.2</v>
      </c>
      <c r="H10" s="142">
        <v>104588.88</v>
      </c>
      <c r="I10" s="142">
        <v>104580.731</v>
      </c>
      <c r="J10" s="142">
        <v>141589</v>
      </c>
      <c r="K10" s="142">
        <v>103602.01</v>
      </c>
      <c r="L10" s="142">
        <v>103803.8</v>
      </c>
      <c r="M10" s="141">
        <v>103803.8</v>
      </c>
      <c r="N10" s="141">
        <v>103803.8</v>
      </c>
      <c r="O10" s="142">
        <v>103602.01</v>
      </c>
      <c r="P10" s="142">
        <v>105362</v>
      </c>
      <c r="Q10" s="142">
        <v>103825.329</v>
      </c>
      <c r="R10" s="142">
        <v>103803.8</v>
      </c>
      <c r="S10" s="142">
        <f>R10</f>
        <v>103803.8</v>
      </c>
      <c r="T10" s="142">
        <f>J10</f>
        <v>141589</v>
      </c>
      <c r="U10" s="142">
        <v>103759.5</v>
      </c>
      <c r="V10" s="142">
        <f>T10</f>
        <v>141589</v>
      </c>
      <c r="W10" s="142">
        <v>103852.56</v>
      </c>
      <c r="X10" s="142">
        <f>Z10</f>
        <v>295.7</v>
      </c>
      <c r="Y10" s="142">
        <v>295.7</v>
      </c>
      <c r="Z10" s="142">
        <v>295.7</v>
      </c>
      <c r="AA10" s="142">
        <v>104205.1</v>
      </c>
      <c r="AB10" s="150">
        <v>300.3</v>
      </c>
      <c r="AC10" s="150">
        <v>300.3</v>
      </c>
      <c r="AD10" s="142">
        <v>105368.6</v>
      </c>
      <c r="AE10" s="181">
        <v>300.26599999999996</v>
      </c>
      <c r="AF10" s="142">
        <f t="shared" si="3"/>
        <v>300.26599999999996</v>
      </c>
      <c r="AG10" s="142">
        <v>309.8</v>
      </c>
      <c r="AH10" s="142"/>
      <c r="AI10" s="142">
        <v>334.8</v>
      </c>
      <c r="AJ10" s="142">
        <f>'[1]УЕ П2.1'!K54</f>
        <v>309.84480000000002</v>
      </c>
      <c r="AK10" s="142"/>
      <c r="AL10" s="150">
        <v>324.39999999999998</v>
      </c>
      <c r="AM10" s="182">
        <f>'[1]УЕ П2.1'!M54</f>
        <v>324.41589999999997</v>
      </c>
      <c r="AN10" s="154">
        <f t="shared" si="2"/>
        <v>1.0470270922732927</v>
      </c>
      <c r="AO10" s="29">
        <f>AA10/Q10</f>
        <v>1.0036577875905408</v>
      </c>
      <c r="AP10" s="33" t="s">
        <v>44</v>
      </c>
      <c r="AS10" s="34"/>
    </row>
    <row r="11" spans="1:107" ht="26.25" customHeight="1" thickBot="1" x14ac:dyDescent="0.3">
      <c r="A11" s="178"/>
      <c r="B11" s="179" t="s">
        <v>45</v>
      </c>
      <c r="C11" s="143"/>
      <c r="D11" s="143"/>
      <c r="E11" s="147"/>
      <c r="F11" s="143">
        <v>0.01</v>
      </c>
      <c r="G11" s="143">
        <v>0.01</v>
      </c>
      <c r="H11" s="143">
        <v>0.01</v>
      </c>
      <c r="I11" s="143">
        <v>0.01</v>
      </c>
      <c r="J11" s="143">
        <f>F11</f>
        <v>0.01</v>
      </c>
      <c r="K11" s="143">
        <f>G11</f>
        <v>0.01</v>
      </c>
      <c r="L11" s="143"/>
      <c r="M11" s="143"/>
      <c r="N11" s="143"/>
      <c r="O11" s="143">
        <v>0.01</v>
      </c>
      <c r="P11" s="143">
        <v>0.01</v>
      </c>
      <c r="Q11" s="143">
        <v>0.01</v>
      </c>
      <c r="R11" s="143"/>
      <c r="S11" s="143"/>
      <c r="T11" s="143">
        <f>F11</f>
        <v>0.01</v>
      </c>
      <c r="U11" s="143">
        <f>G11</f>
        <v>0.01</v>
      </c>
      <c r="V11" s="143">
        <f>F11</f>
        <v>0.01</v>
      </c>
      <c r="W11" s="143">
        <f>G11</f>
        <v>0.01</v>
      </c>
      <c r="X11" s="143">
        <f>Q11</f>
        <v>0.01</v>
      </c>
      <c r="Y11" s="143">
        <v>0.01</v>
      </c>
      <c r="Z11" s="143">
        <f>Q11</f>
        <v>0.01</v>
      </c>
      <c r="AA11" s="143">
        <f>T11</f>
        <v>0.01</v>
      </c>
      <c r="AB11" s="143"/>
      <c r="AC11" s="183"/>
      <c r="AD11" s="143">
        <f>AE11</f>
        <v>0.01</v>
      </c>
      <c r="AE11" s="143">
        <v>0.01</v>
      </c>
      <c r="AF11" s="143">
        <f t="shared" si="3"/>
        <v>0.01</v>
      </c>
      <c r="AG11" s="143"/>
      <c r="AH11" s="143"/>
      <c r="AI11" s="143"/>
      <c r="AJ11" s="183">
        <v>0.03</v>
      </c>
      <c r="AK11" s="183"/>
      <c r="AL11" s="183">
        <v>0.03</v>
      </c>
      <c r="AM11" s="183">
        <f>AJ11</f>
        <v>0.03</v>
      </c>
      <c r="AN11" s="154">
        <f t="shared" si="2"/>
        <v>1</v>
      </c>
      <c r="AO11" s="29"/>
      <c r="AP11" s="30" t="s">
        <v>46</v>
      </c>
    </row>
    <row r="12" spans="1:107" ht="28.5" customHeight="1" thickBot="1" x14ac:dyDescent="0.3">
      <c r="A12" s="178"/>
      <c r="B12" s="184" t="s">
        <v>47</v>
      </c>
      <c r="C12" s="144"/>
      <c r="D12" s="144"/>
      <c r="E12" s="147"/>
      <c r="F12" s="145">
        <v>1.0404899999999999</v>
      </c>
      <c r="G12" s="145">
        <v>1.0380669566684417</v>
      </c>
      <c r="H12" s="146">
        <v>1.0447906540856438</v>
      </c>
      <c r="I12" s="146">
        <v>1.0662689034750688</v>
      </c>
      <c r="J12" s="185">
        <f>J8*(1+J9*(J10-D10)/D10)*(1-J11)</f>
        <v>1.0404899999999999</v>
      </c>
      <c r="K12" s="186">
        <f>K8*(1+K9*(K10-F10)/F10)*(1-K11)</f>
        <v>0.82841593725419849</v>
      </c>
      <c r="L12" s="186"/>
      <c r="M12" s="146"/>
      <c r="N12" s="146"/>
      <c r="O12" s="145">
        <v>1.0373774141453889</v>
      </c>
      <c r="P12" s="145">
        <v>1.0393508974716383</v>
      </c>
      <c r="Q12" s="146">
        <v>1.0574580290003224</v>
      </c>
      <c r="R12" s="146"/>
      <c r="S12" s="146"/>
      <c r="T12" s="144">
        <f>T8*(1+T9*(T10-J10)/J10)*(1-T11)</f>
        <v>1.0404899999999999</v>
      </c>
      <c r="U12" s="144">
        <f>U8*(1+U9*(U10-K10)/K10)*(1-U11)</f>
        <v>1.0377117563411655</v>
      </c>
      <c r="V12" s="144">
        <f>V8*(1+V9*(V10-T10)/T10)*(1-V11)</f>
        <v>1.0404899999999999</v>
      </c>
      <c r="W12" s="144">
        <f>W8*(1+W9*(W10-U10)/U10)*(1-W11)</f>
        <v>1.0372272336157169</v>
      </c>
      <c r="X12" s="145">
        <f>X8*(1+X9*(X10-Q10)/X10)*(1-X11)</f>
        <v>-273.9923263827697</v>
      </c>
      <c r="Y12" s="145">
        <v>1.03355</v>
      </c>
      <c r="Z12" s="145">
        <v>1.0265656822039588</v>
      </c>
      <c r="AA12" s="145">
        <f>Z12</f>
        <v>1.0265656822039588</v>
      </c>
      <c r="AB12" s="145"/>
      <c r="AC12" s="187"/>
      <c r="AD12" s="145">
        <f>AD7/Z7</f>
        <v>411.33470758931219</v>
      </c>
      <c r="AE12" s="145">
        <v>1.0355400000000001</v>
      </c>
      <c r="AF12" s="145">
        <f t="shared" si="3"/>
        <v>1.0355400000000001</v>
      </c>
      <c r="AG12" s="145"/>
      <c r="AH12" s="145"/>
      <c r="AI12" s="145"/>
      <c r="AJ12" s="145" t="s">
        <v>48</v>
      </c>
      <c r="AK12" s="145"/>
      <c r="AL12" s="145" t="s">
        <v>39</v>
      </c>
      <c r="AM12" s="145">
        <f>AM8*(1+AM9*(AM10-AJ10)/AJ10)*(1-AM11)</f>
        <v>1.0430049272867816</v>
      </c>
      <c r="AN12" s="154" t="s">
        <v>39</v>
      </c>
      <c r="AO12" s="29"/>
      <c r="AP12" s="35" t="s">
        <v>49</v>
      </c>
    </row>
    <row r="13" spans="1:107" ht="21.75" customHeight="1" thickBot="1" x14ac:dyDescent="0.3">
      <c r="A13" s="178" t="s">
        <v>50</v>
      </c>
      <c r="B13" s="188" t="s">
        <v>51</v>
      </c>
      <c r="C13" s="147">
        <v>107156.51378886195</v>
      </c>
      <c r="D13" s="147">
        <v>174870</v>
      </c>
      <c r="E13" s="147">
        <v>137411.29999999999</v>
      </c>
      <c r="F13" s="148">
        <v>181950.48629999999</v>
      </c>
      <c r="G13" s="148">
        <v>111235.63615600383</v>
      </c>
      <c r="H13" s="148">
        <v>111956.12413100238</v>
      </c>
      <c r="I13" s="148">
        <v>114257.65845786092</v>
      </c>
      <c r="J13" s="147">
        <f t="shared" ref="J13:J19" si="4">F13*$J$12</f>
        <v>189317.66149028696</v>
      </c>
      <c r="K13" s="147">
        <f t="shared" ref="K13:K19" si="5">G13*$K$12</f>
        <v>92149.373782242925</v>
      </c>
      <c r="L13" s="147">
        <v>135254.70102000001</v>
      </c>
      <c r="M13" s="148">
        <f>L13</f>
        <v>135254.70102000001</v>
      </c>
      <c r="N13" s="148">
        <f>M13</f>
        <v>135254.70102000001</v>
      </c>
      <c r="O13" s="148">
        <v>115393.33659633258</v>
      </c>
      <c r="P13" s="148">
        <v>118753.79986118567</v>
      </c>
      <c r="Q13" s="148">
        <v>120822.67831104161</v>
      </c>
      <c r="R13" s="148">
        <v>153801</v>
      </c>
      <c r="S13" s="148">
        <f>R13</f>
        <v>153801</v>
      </c>
      <c r="T13" s="147">
        <f t="shared" ref="T13:T19" si="6">J13*$T$12</f>
        <v>196983.13360402867</v>
      </c>
      <c r="U13" s="147">
        <f>K13*$U$12</f>
        <v>95624.488513309858</v>
      </c>
      <c r="V13" s="147">
        <f>T13*$V$12</f>
        <v>204958.98068365577</v>
      </c>
      <c r="W13" s="147">
        <f>U13*$W$12</f>
        <v>99184.323686578282</v>
      </c>
      <c r="X13" s="147">
        <f>Q13*$X$12</f>
        <v>-33104486.710239306</v>
      </c>
      <c r="Y13" s="147">
        <v>216.8</v>
      </c>
      <c r="Z13" s="147">
        <v>227.10506394813663</v>
      </c>
      <c r="AA13" s="147">
        <f>Z13</f>
        <v>227.10506394813663</v>
      </c>
      <c r="AB13" s="147">
        <v>173.1</v>
      </c>
      <c r="AC13" s="151">
        <v>172.71394999999998</v>
      </c>
      <c r="AD13" s="147">
        <f>Z13*AD12</f>
        <v>93416.195071158829</v>
      </c>
      <c r="AE13" s="147">
        <v>231.57903370791493</v>
      </c>
      <c r="AF13" s="147">
        <f>AE13</f>
        <v>231.57903370791493</v>
      </c>
      <c r="AG13" s="147">
        <v>221.5</v>
      </c>
      <c r="AH13" s="147"/>
      <c r="AI13" s="147">
        <v>497.4</v>
      </c>
      <c r="AJ13" s="151">
        <v>268.56955064149724</v>
      </c>
      <c r="AK13" s="147"/>
      <c r="AL13" s="151">
        <v>517.29999999999995</v>
      </c>
      <c r="AM13" s="151">
        <f>AJ13*AM12</f>
        <v>280.11936463827846</v>
      </c>
      <c r="AN13" s="154">
        <f t="shared" si="2"/>
        <v>1.0430049272867816</v>
      </c>
      <c r="AO13" s="29">
        <f>AA13/Q13</f>
        <v>1.8796559315088631E-3</v>
      </c>
      <c r="AP13" s="36" t="s">
        <v>52</v>
      </c>
    </row>
    <row r="14" spans="1:107" ht="22.5" customHeight="1" thickBot="1" x14ac:dyDescent="0.3">
      <c r="A14" s="178" t="s">
        <v>53</v>
      </c>
      <c r="B14" s="184" t="s">
        <v>54</v>
      </c>
      <c r="C14" s="147">
        <v>208716.03440468479</v>
      </c>
      <c r="D14" s="147">
        <v>412792</v>
      </c>
      <c r="E14" s="147">
        <v>226706</v>
      </c>
      <c r="F14" s="148">
        <v>429505.94807999994</v>
      </c>
      <c r="G14" s="148">
        <v>216661.21864237692</v>
      </c>
      <c r="H14" s="148">
        <v>218064.56210383234</v>
      </c>
      <c r="I14" s="148">
        <v>222547.41714234799</v>
      </c>
      <c r="J14" s="147">
        <f t="shared" si="4"/>
        <v>446896.64391775912</v>
      </c>
      <c r="K14" s="147">
        <f t="shared" si="5"/>
        <v>179485.6065082615</v>
      </c>
      <c r="L14" s="147">
        <v>222168.85421999998</v>
      </c>
      <c r="M14" s="148">
        <f>L14</f>
        <v>222168.85421999998</v>
      </c>
      <c r="N14" s="148">
        <f>M14</f>
        <v>222168.85421999998</v>
      </c>
      <c r="O14" s="148">
        <v>224759.45474081769</v>
      </c>
      <c r="P14" s="148">
        <v>231304.85773689445</v>
      </c>
      <c r="Q14" s="148">
        <v>235334.55309045987</v>
      </c>
      <c r="R14" s="148">
        <v>207018</v>
      </c>
      <c r="S14" s="148">
        <f>R14</f>
        <v>207018</v>
      </c>
      <c r="T14" s="147">
        <f t="shared" si="6"/>
        <v>464991.48902998917</v>
      </c>
      <c r="U14" s="147">
        <f t="shared" ref="U14:U19" si="7">K14*$U$12</f>
        <v>186254.32396764736</v>
      </c>
      <c r="V14" s="147">
        <f t="shared" ref="V14:V19" si="8">T14*$V$12</f>
        <v>483818.9944208134</v>
      </c>
      <c r="W14" s="147">
        <f t="shared" ref="W14:W19" si="9">U14*$W$12</f>
        <v>193188.0571979284</v>
      </c>
      <c r="X14" s="147">
        <f t="shared" ref="X14:X19" si="10">Q14*$X$12</f>
        <v>-64479861.679504529</v>
      </c>
      <c r="Y14" s="147">
        <v>1489.7</v>
      </c>
      <c r="Z14" s="147">
        <v>1560.5092885772099</v>
      </c>
      <c r="AA14" s="147">
        <f>Z14</f>
        <v>1560.5092885772099</v>
      </c>
      <c r="AB14" s="147">
        <v>2086.3000000000002</v>
      </c>
      <c r="AC14" s="151">
        <v>1841.17778</v>
      </c>
      <c r="AD14" s="147">
        <f>Z14*AD12</f>
        <v>641891.6319073122</v>
      </c>
      <c r="AE14" s="147">
        <v>1591.2513215621809</v>
      </c>
      <c r="AF14" s="147">
        <f t="shared" si="3"/>
        <v>1591.2513215621809</v>
      </c>
      <c r="AG14" s="147">
        <v>954</v>
      </c>
      <c r="AH14" s="147"/>
      <c r="AI14" s="147">
        <v>3689.5</v>
      </c>
      <c r="AJ14" s="151">
        <v>2566.990719476426</v>
      </c>
      <c r="AK14" s="147"/>
      <c r="AL14" s="151">
        <f>AI14*AL8</f>
        <v>3837.08</v>
      </c>
      <c r="AM14" s="151">
        <f>AJ14*AM12</f>
        <v>2677.3839687133527</v>
      </c>
      <c r="AN14" s="154">
        <f t="shared" si="2"/>
        <v>1.0430049272867816</v>
      </c>
      <c r="AO14" s="29">
        <f>AA14/Q14</f>
        <v>6.6310249306117328E-3</v>
      </c>
      <c r="AP14" s="37"/>
    </row>
    <row r="15" spans="1:107" ht="21.75" customHeight="1" thickBot="1" x14ac:dyDescent="0.3">
      <c r="A15" s="178" t="s">
        <v>55</v>
      </c>
      <c r="B15" s="188" t="s">
        <v>56</v>
      </c>
      <c r="C15" s="147">
        <v>1018802.7702307937</v>
      </c>
      <c r="D15" s="147">
        <v>1676534</v>
      </c>
      <c r="E15" s="147">
        <v>1133311.1000000001</v>
      </c>
      <c r="F15" s="148">
        <v>1744416.8616599999</v>
      </c>
      <c r="G15" s="148">
        <v>1057585.4911388578</v>
      </c>
      <c r="H15" s="148">
        <v>1064435.6126936967</v>
      </c>
      <c r="I15" s="148">
        <v>1086317.7126713509</v>
      </c>
      <c r="J15" s="147">
        <f t="shared" si="4"/>
        <v>1815048.3003886133</v>
      </c>
      <c r="K15" s="147">
        <f t="shared" si="5"/>
        <v>876120.67586823867</v>
      </c>
      <c r="L15" s="147">
        <f>M15</f>
        <v>1230467.5801599999</v>
      </c>
      <c r="M15" s="148">
        <f>1057697.12766+4048.88152+166305.52825+2234.62841+181.41432</f>
        <v>1230467.5801599999</v>
      </c>
      <c r="N15" s="148">
        <f>M15</f>
        <v>1230467.5801599999</v>
      </c>
      <c r="O15" s="148">
        <v>1097115.3020353094</v>
      </c>
      <c r="P15" s="148">
        <v>1129065.289604306</v>
      </c>
      <c r="Q15" s="148">
        <v>1148735.3873095852</v>
      </c>
      <c r="R15" s="148">
        <v>1336245.7</v>
      </c>
      <c r="S15" s="148">
        <f>R15</f>
        <v>1336245.7</v>
      </c>
      <c r="T15" s="147">
        <f t="shared" si="6"/>
        <v>1888539.6060713481</v>
      </c>
      <c r="U15" s="147">
        <f t="shared" si="7"/>
        <v>909160.72532203898</v>
      </c>
      <c r="V15" s="147">
        <f t="shared" si="8"/>
        <v>1965006.5747211769</v>
      </c>
      <c r="W15" s="147">
        <f t="shared" si="9"/>
        <v>943006.26403783716</v>
      </c>
      <c r="X15" s="147">
        <f t="shared" si="10"/>
        <v>-314744681.16716522</v>
      </c>
      <c r="Y15" s="147">
        <v>2526.1999999999998</v>
      </c>
      <c r="Z15" s="147">
        <v>2646.2768106355288</v>
      </c>
      <c r="AA15" s="147">
        <f>Z15</f>
        <v>2646.2768106355288</v>
      </c>
      <c r="AB15" s="147">
        <v>4203.1000000000004</v>
      </c>
      <c r="AC15" s="151">
        <v>4203.1000000000004</v>
      </c>
      <c r="AD15" s="147">
        <f>Z15*AD12</f>
        <v>1088505.4981031429</v>
      </c>
      <c r="AE15" s="147">
        <v>2698.408463805049</v>
      </c>
      <c r="AF15" s="147">
        <f t="shared" si="3"/>
        <v>2698.408463805049</v>
      </c>
      <c r="AG15" s="147">
        <v>3240.4</v>
      </c>
      <c r="AH15" s="147"/>
      <c r="AI15" s="147">
        <v>6677.4</v>
      </c>
      <c r="AJ15" s="147">
        <v>4492.9379738541502</v>
      </c>
      <c r="AK15" s="147"/>
      <c r="AL15" s="151">
        <f>AI15*AL8</f>
        <v>6944.4960000000001</v>
      </c>
      <c r="AM15" s="151">
        <f>AJ15*AM12</f>
        <v>4686.1564447237679</v>
      </c>
      <c r="AN15" s="154">
        <f t="shared" si="2"/>
        <v>1.0430049272867816</v>
      </c>
      <c r="AO15" s="29">
        <f>AF15/AA15</f>
        <v>1.0197000000000001</v>
      </c>
      <c r="AP15" s="37"/>
    </row>
    <row r="16" spans="1:107" ht="27.75" customHeight="1" thickBot="1" x14ac:dyDescent="0.3">
      <c r="A16" s="178" t="s">
        <v>57</v>
      </c>
      <c r="B16" s="179" t="s">
        <v>58</v>
      </c>
      <c r="C16" s="147">
        <v>325226.15318289417</v>
      </c>
      <c r="D16" s="147">
        <v>597983.40000000037</v>
      </c>
      <c r="E16" s="147">
        <v>407486</v>
      </c>
      <c r="F16" s="148">
        <v>622195.74786600028</v>
      </c>
      <c r="G16" s="148">
        <v>337606.5230635514</v>
      </c>
      <c r="H16" s="148">
        <v>339793.24530971376</v>
      </c>
      <c r="I16" s="148">
        <v>346778.5337357393</v>
      </c>
      <c r="J16" s="147">
        <f t="shared" si="4"/>
        <v>647388.45369709458</v>
      </c>
      <c r="K16" s="147">
        <f t="shared" si="5"/>
        <v>279678.6242268231</v>
      </c>
      <c r="L16" s="147">
        <v>426989.83192650485</v>
      </c>
      <c r="M16" s="148">
        <f>L16</f>
        <v>426989.83192650485</v>
      </c>
      <c r="N16" s="148">
        <f>M16</f>
        <v>426989.83192650485</v>
      </c>
      <c r="O16" s="148">
        <v>350225.38189428253</v>
      </c>
      <c r="P16" s="148">
        <v>360424.58026213944</v>
      </c>
      <c r="Q16" s="148">
        <v>366703.74478381668</v>
      </c>
      <c r="R16" s="148">
        <v>429500.7</v>
      </c>
      <c r="S16" s="148">
        <f>R16</f>
        <v>429500.7</v>
      </c>
      <c r="T16" s="147">
        <f t="shared" si="6"/>
        <v>673601.21218728984</v>
      </c>
      <c r="U16" s="147">
        <f t="shared" si="7"/>
        <v>290225.79635749746</v>
      </c>
      <c r="V16" s="147">
        <f t="shared" si="8"/>
        <v>700875.32526875311</v>
      </c>
      <c r="W16" s="147">
        <f t="shared" si="9"/>
        <v>301030.09987980546</v>
      </c>
      <c r="X16" s="147">
        <f t="shared" si="10"/>
        <v>-100474012.12659138</v>
      </c>
      <c r="Y16" s="147">
        <v>454</v>
      </c>
      <c r="Z16" s="147">
        <v>475.57979258512</v>
      </c>
      <c r="AA16" s="147">
        <f>Z16</f>
        <v>475.57979258512</v>
      </c>
      <c r="AB16" s="147">
        <v>441.47339999999991</v>
      </c>
      <c r="AC16" s="151">
        <v>341.97721000000001</v>
      </c>
      <c r="AD16" s="147">
        <f>Z16*AD12</f>
        <v>195622.47491838608</v>
      </c>
      <c r="AE16" s="147">
        <v>484.9487144990469</v>
      </c>
      <c r="AF16" s="147">
        <f t="shared" si="3"/>
        <v>484.9487144990469</v>
      </c>
      <c r="AG16" s="147">
        <v>1010.8</v>
      </c>
      <c r="AH16" s="147"/>
      <c r="AI16" s="147">
        <v>1827.6</v>
      </c>
      <c r="AJ16" s="147">
        <v>422.54398615073654</v>
      </c>
      <c r="AK16" s="147"/>
      <c r="AL16" s="151">
        <v>2029.9</v>
      </c>
      <c r="AM16" s="151">
        <f>AJ16*AM12</f>
        <v>440.71545955061583</v>
      </c>
      <c r="AN16" s="154">
        <f t="shared" si="2"/>
        <v>1.0430049272867816</v>
      </c>
      <c r="AO16" s="29">
        <f>AF16/AA16</f>
        <v>1.0197000000000001</v>
      </c>
      <c r="AP16" s="38"/>
    </row>
    <row r="17" spans="1:107" ht="16.5" hidden="1" thickBot="1" x14ac:dyDescent="0.3">
      <c r="A17" s="178"/>
      <c r="B17" s="189" t="s">
        <v>59</v>
      </c>
      <c r="C17" s="147">
        <v>0</v>
      </c>
      <c r="D17" s="147"/>
      <c r="E17" s="147">
        <v>0</v>
      </c>
      <c r="F17" s="148">
        <v>0</v>
      </c>
      <c r="G17" s="148">
        <v>0</v>
      </c>
      <c r="H17" s="148">
        <v>0</v>
      </c>
      <c r="I17" s="148">
        <v>0</v>
      </c>
      <c r="J17" s="147">
        <f t="shared" si="4"/>
        <v>0</v>
      </c>
      <c r="K17" s="147">
        <f t="shared" si="5"/>
        <v>0</v>
      </c>
      <c r="L17" s="147">
        <v>0</v>
      </c>
      <c r="M17" s="148"/>
      <c r="N17" s="148"/>
      <c r="O17" s="148">
        <v>0</v>
      </c>
      <c r="P17" s="148">
        <v>0</v>
      </c>
      <c r="Q17" s="148">
        <v>0</v>
      </c>
      <c r="R17" s="148"/>
      <c r="S17" s="148"/>
      <c r="T17" s="147">
        <f t="shared" si="6"/>
        <v>0</v>
      </c>
      <c r="U17" s="147">
        <f t="shared" si="7"/>
        <v>0</v>
      </c>
      <c r="V17" s="147">
        <f t="shared" si="8"/>
        <v>0</v>
      </c>
      <c r="W17" s="147">
        <f t="shared" si="9"/>
        <v>0</v>
      </c>
      <c r="X17" s="147">
        <f t="shared" si="10"/>
        <v>0</v>
      </c>
      <c r="Y17" s="147"/>
      <c r="Z17" s="147">
        <f>Q17*$Z$12</f>
        <v>0</v>
      </c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53" t="e">
        <f t="shared" si="2"/>
        <v>#DIV/0!</v>
      </c>
      <c r="AO17" s="29"/>
      <c r="AP17" s="39"/>
    </row>
    <row r="18" spans="1:107" ht="16.5" hidden="1" thickBot="1" x14ac:dyDescent="0.3">
      <c r="A18" s="178"/>
      <c r="B18" s="189" t="s">
        <v>60</v>
      </c>
      <c r="C18" s="147">
        <v>28439.94485864494</v>
      </c>
      <c r="D18" s="147">
        <v>49362</v>
      </c>
      <c r="E18" s="147">
        <v>0</v>
      </c>
      <c r="F18" s="148">
        <v>51360.667379999999</v>
      </c>
      <c r="G18" s="148">
        <v>29522.56700723185</v>
      </c>
      <c r="H18" s="148">
        <v>29713.788591023287</v>
      </c>
      <c r="I18" s="148">
        <v>30324.628819318757</v>
      </c>
      <c r="J18" s="147">
        <f t="shared" si="4"/>
        <v>53440.260802216195</v>
      </c>
      <c r="K18" s="147">
        <f t="shared" si="5"/>
        <v>24456.965017445851</v>
      </c>
      <c r="L18" s="147">
        <v>39118</v>
      </c>
      <c r="M18" s="148"/>
      <c r="N18" s="148"/>
      <c r="O18" s="148">
        <v>30626.044220896147</v>
      </c>
      <c r="P18" s="148">
        <v>31517.930178853258</v>
      </c>
      <c r="Q18" s="148">
        <v>32067.022221443185</v>
      </c>
      <c r="R18" s="148"/>
      <c r="S18" s="148"/>
      <c r="T18" s="147">
        <f t="shared" si="6"/>
        <v>55604.056962097922</v>
      </c>
      <c r="U18" s="147">
        <f t="shared" si="7"/>
        <v>25379.280123028177</v>
      </c>
      <c r="V18" s="147">
        <f t="shared" si="8"/>
        <v>57855.46522849326</v>
      </c>
      <c r="W18" s="147">
        <f t="shared" si="9"/>
        <v>26324.080513166868</v>
      </c>
      <c r="X18" s="147">
        <f t="shared" si="10"/>
        <v>-8786118.0186211895</v>
      </c>
      <c r="Y18" s="147"/>
      <c r="Z18" s="147">
        <f>Q18*$Z$12</f>
        <v>32918.90454300533</v>
      </c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53" t="e">
        <f t="shared" si="2"/>
        <v>#DIV/0!</v>
      </c>
      <c r="AO18" s="29">
        <f>Q18/I18</f>
        <v>1.0574580290003224</v>
      </c>
      <c r="AP18" s="39"/>
    </row>
    <row r="19" spans="1:107" ht="16.5" hidden="1" thickBot="1" x14ac:dyDescent="0.3">
      <c r="A19" s="178"/>
      <c r="B19" s="189" t="s">
        <v>61</v>
      </c>
      <c r="C19" s="147">
        <v>0</v>
      </c>
      <c r="D19" s="147">
        <v>0</v>
      </c>
      <c r="E19" s="148">
        <v>0</v>
      </c>
      <c r="F19" s="148">
        <v>0</v>
      </c>
      <c r="G19" s="148">
        <v>0</v>
      </c>
      <c r="H19" s="148">
        <v>0</v>
      </c>
      <c r="I19" s="148">
        <v>0</v>
      </c>
      <c r="J19" s="147">
        <f t="shared" si="4"/>
        <v>0</v>
      </c>
      <c r="K19" s="147">
        <f t="shared" si="5"/>
        <v>0</v>
      </c>
      <c r="L19" s="147">
        <v>0</v>
      </c>
      <c r="M19" s="148"/>
      <c r="N19" s="148"/>
      <c r="O19" s="148">
        <v>0</v>
      </c>
      <c r="P19" s="148">
        <v>0</v>
      </c>
      <c r="Q19" s="148">
        <v>0</v>
      </c>
      <c r="R19" s="148"/>
      <c r="S19" s="148"/>
      <c r="T19" s="147">
        <f t="shared" si="6"/>
        <v>0</v>
      </c>
      <c r="U19" s="147">
        <f t="shared" si="7"/>
        <v>0</v>
      </c>
      <c r="V19" s="147">
        <f t="shared" si="8"/>
        <v>0</v>
      </c>
      <c r="W19" s="147">
        <f t="shared" si="9"/>
        <v>0</v>
      </c>
      <c r="X19" s="147">
        <f t="shared" si="10"/>
        <v>0</v>
      </c>
      <c r="Y19" s="147"/>
      <c r="Z19" s="147">
        <f>Q19*$Z$12</f>
        <v>0</v>
      </c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53" t="e">
        <f t="shared" si="2"/>
        <v>#DIV/0!</v>
      </c>
      <c r="AO19" s="40"/>
      <c r="AP19" s="41"/>
    </row>
    <row r="20" spans="1:107" s="22" customFormat="1" ht="28.5" customHeight="1" thickBot="1" x14ac:dyDescent="0.3">
      <c r="A20" s="166">
        <v>2</v>
      </c>
      <c r="B20" s="190" t="s">
        <v>62</v>
      </c>
      <c r="C20" s="149">
        <v>1989968.6954511097</v>
      </c>
      <c r="D20" s="191">
        <v>2534115.0926668458</v>
      </c>
      <c r="E20" s="149">
        <v>1765430.2330742285</v>
      </c>
      <c r="F20" s="149">
        <v>1999763.1852800001</v>
      </c>
      <c r="G20" s="149">
        <v>1490545.2114570253</v>
      </c>
      <c r="H20" s="149">
        <v>2341428.3312546248</v>
      </c>
      <c r="I20" s="149">
        <v>1922670.83576879</v>
      </c>
      <c r="J20" s="191" t="e">
        <f>J21+J23+J31+J36+J37+J43+#REF!+#REF!+J42</f>
        <v>#REF!</v>
      </c>
      <c r="K20" s="192" t="e">
        <f>K21+K23+K31+K36+K37+K43+#REF!+#REF!+K42</f>
        <v>#REF!</v>
      </c>
      <c r="L20" s="149" t="e">
        <f>L21+L23+L31+L36+L37+L43+#REF!+#REF!+L42</f>
        <v>#REF!</v>
      </c>
      <c r="M20" s="149" t="e">
        <f>M21+M23+M31+M36+M37+M43+#REF!+#REF!+M42</f>
        <v>#REF!</v>
      </c>
      <c r="N20" s="149" t="e">
        <f>N21+N23+N31+N36+N37+N43+#REF!+#REF!+N42</f>
        <v>#REF!</v>
      </c>
      <c r="O20" s="149">
        <v>1546257.937128081</v>
      </c>
      <c r="P20" s="149">
        <v>2011943.7215819201</v>
      </c>
      <c r="Q20" s="149">
        <v>1628341.2065540119</v>
      </c>
      <c r="R20" s="149" t="e">
        <f>R21+R23+R31+R36+R37+R43+#REF!+#REF!+R42</f>
        <v>#REF!</v>
      </c>
      <c r="S20" s="149" t="e">
        <f>S21+S23+S31+S36+S37+S43+#REF!+#REF!+S42</f>
        <v>#REF!</v>
      </c>
      <c r="T20" s="192" t="e">
        <f>T21+T23+T31+T36+T37+T43+#REF!+#REF!+T42</f>
        <v>#REF!</v>
      </c>
      <c r="U20" s="192" t="e">
        <f>U21+U23+U31+U36+U37+U43+#REF!+#REF!+U42</f>
        <v>#REF!</v>
      </c>
      <c r="V20" s="192" t="e">
        <f>V21+V23+V31+V36+V37+V43+#REF!+#REF!+V42</f>
        <v>#REF!</v>
      </c>
      <c r="W20" s="192" t="e">
        <f>W21+W23+W31+W36+W37+W43+#REF!+#REF!+W42</f>
        <v>#REF!</v>
      </c>
      <c r="X20" s="149" t="e">
        <f>X21+X23+X31+X36+X37+X43+#REF!+#REF!+X42</f>
        <v>#REF!</v>
      </c>
      <c r="Y20" s="149">
        <f>Y23+Y31+Y32+Y37+Y63</f>
        <v>4473</v>
      </c>
      <c r="Z20" s="149">
        <f>Z23+Z31+Z32+Z36+Z37+Z63</f>
        <v>3835.1748038476198</v>
      </c>
      <c r="AA20" s="149" t="e">
        <f>AA21+AA23+AA31+AA36+AA37+AA43+#REF!+#REF!+AA42</f>
        <v>#REF!</v>
      </c>
      <c r="AB20" s="149">
        <f>AB23+AB31+AB32+AB37+AB63+AB36</f>
        <v>6423.4360000000006</v>
      </c>
      <c r="AC20" s="149">
        <f>AC23+AC31+AC32+AC36+AC37</f>
        <v>4934.3809639975907</v>
      </c>
      <c r="AD20" s="149" t="e">
        <f>AD21+AD23+AD31+AD36+AD37+AD43+#REF!+#REF!+AD42</f>
        <v>#REF!</v>
      </c>
      <c r="AE20" s="149">
        <f>AE23+AE31+AE32+AE36+AE37+AE63</f>
        <v>4889.1236576141209</v>
      </c>
      <c r="AF20" s="149" t="e">
        <f>AF21+AF23+AF31+AF36+AF37+AF43+#REF!+#REF!+AF42</f>
        <v>#REF!</v>
      </c>
      <c r="AG20" s="149">
        <f>AG23+AG31+AG32+AG36+AG37+AG63</f>
        <v>9326.9509999999991</v>
      </c>
      <c r="AH20" s="149">
        <f>AH23+AH31+AH32+AH36+AH37+AH63</f>
        <v>5119.7165427883047</v>
      </c>
      <c r="AI20" s="149">
        <f>AI23+AI31+AI32+AI36+AI37+AI63</f>
        <v>9285.9500000000007</v>
      </c>
      <c r="AJ20" s="149" t="e">
        <f>AJ23+AJ31+AJ32+AJ37+AJ63+AJ36</f>
        <v>#REF!</v>
      </c>
      <c r="AK20" s="149"/>
      <c r="AL20" s="150">
        <f>AL23+AL31+AL32+AL63+AL37</f>
        <v>9379.5841666666674</v>
      </c>
      <c r="AM20" s="169">
        <f>AM23+AM31+AM32+AM63+AM37</f>
        <v>5610.2406140315443</v>
      </c>
      <c r="AN20" s="153" t="e">
        <f t="shared" si="2"/>
        <v>#REF!</v>
      </c>
      <c r="AO20" s="42" t="e">
        <f>AA20/Q20</f>
        <v>#REF!</v>
      </c>
      <c r="AP20" s="43" t="s">
        <v>63</v>
      </c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</row>
    <row r="21" spans="1:107" ht="36" customHeight="1" thickBot="1" x14ac:dyDescent="0.3">
      <c r="A21" s="178" t="s">
        <v>64</v>
      </c>
      <c r="B21" s="193" t="s">
        <v>65</v>
      </c>
      <c r="C21" s="142">
        <v>307023</v>
      </c>
      <c r="D21" s="142">
        <v>79473</v>
      </c>
      <c r="E21" s="142">
        <v>39132.49</v>
      </c>
      <c r="F21" s="142"/>
      <c r="G21" s="142"/>
      <c r="H21" s="142"/>
      <c r="I21" s="142">
        <v>300000</v>
      </c>
      <c r="J21" s="142"/>
      <c r="K21" s="142"/>
      <c r="L21" s="142">
        <v>0</v>
      </c>
      <c r="M21" s="142">
        <v>0</v>
      </c>
      <c r="N21" s="142">
        <v>0</v>
      </c>
      <c r="O21" s="142"/>
      <c r="P21" s="142"/>
      <c r="Q21" s="142">
        <v>0</v>
      </c>
      <c r="R21" s="142">
        <v>0</v>
      </c>
      <c r="S21" s="142">
        <v>0</v>
      </c>
      <c r="T21" s="142"/>
      <c r="U21" s="142"/>
      <c r="V21" s="142"/>
      <c r="W21" s="142"/>
      <c r="X21" s="142">
        <v>0</v>
      </c>
      <c r="Y21" s="142">
        <v>0</v>
      </c>
      <c r="Z21" s="142">
        <v>0</v>
      </c>
      <c r="AA21" s="142">
        <v>0</v>
      </c>
      <c r="AB21" s="142">
        <v>0</v>
      </c>
      <c r="AC21" s="142">
        <v>0</v>
      </c>
      <c r="AD21" s="142">
        <v>0</v>
      </c>
      <c r="AE21" s="142">
        <v>0</v>
      </c>
      <c r="AF21" s="142">
        <v>0</v>
      </c>
      <c r="AG21" s="142">
        <v>0</v>
      </c>
      <c r="AH21" s="142">
        <v>0</v>
      </c>
      <c r="AI21" s="142">
        <v>0</v>
      </c>
      <c r="AJ21" s="142">
        <v>0</v>
      </c>
      <c r="AK21" s="142"/>
      <c r="AL21" s="150">
        <v>0</v>
      </c>
      <c r="AM21" s="142">
        <v>0</v>
      </c>
      <c r="AN21" s="154" t="s">
        <v>39</v>
      </c>
      <c r="AO21" s="26" t="s">
        <v>48</v>
      </c>
      <c r="AP21" s="44"/>
    </row>
    <row r="22" spans="1:107" s="2" customFormat="1" ht="16.5" hidden="1" thickBot="1" x14ac:dyDescent="0.3">
      <c r="A22" s="178"/>
      <c r="B22" s="194" t="s">
        <v>66</v>
      </c>
      <c r="C22" s="143">
        <v>0.11618308089411754</v>
      </c>
      <c r="D22" s="143">
        <v>1.304168431049323E-2</v>
      </c>
      <c r="E22" s="143">
        <v>1.2895137578604911E-2</v>
      </c>
      <c r="F22" s="143">
        <v>0</v>
      </c>
      <c r="G22" s="143">
        <v>0</v>
      </c>
      <c r="H22" s="143">
        <v>0</v>
      </c>
      <c r="I22" s="143">
        <v>0.11545175727948814</v>
      </c>
      <c r="J22" s="143" t="e">
        <f>((J21)/(J6-J21-#REF!-#REF!-J38))</f>
        <v>#REF!</v>
      </c>
      <c r="K22" s="143" t="e">
        <f>((K21)/(K6-K21-#REF!-#REF!-K38))</f>
        <v>#REF!</v>
      </c>
      <c r="L22" s="143"/>
      <c r="M22" s="143"/>
      <c r="N22" s="143"/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 t="e">
        <f>((T21)/(T6-(T21/0.8)-#REF!-#REF!-T38))</f>
        <v>#REF!</v>
      </c>
      <c r="U22" s="143" t="e">
        <f>((U21)/(U6-(U21/0.8)-#REF!-#REF!-U38))</f>
        <v>#REF!</v>
      </c>
      <c r="V22" s="143" t="e">
        <f>((V21)/(V6-(V21/0.8)-#REF!-#REF!-V38))</f>
        <v>#REF!</v>
      </c>
      <c r="W22" s="143" t="e">
        <f>((W21)/(W6-(W21/0.8)-#REF!-#REF!-W38))</f>
        <v>#REF!</v>
      </c>
      <c r="X22" s="143" t="e">
        <f>((X21)/(X6-(X21/0.8)-#REF!-#REF!-X38))</f>
        <v>#REF!</v>
      </c>
      <c r="Y22" s="143"/>
      <c r="Z22" s="143" t="e">
        <f>((Z21)/(Z6-(Z21/0.8)-#REF!-#REF!-Z38))</f>
        <v>#REF!</v>
      </c>
      <c r="AA22" s="143" t="e">
        <f>((AA21)/(AA6-(AA21/0.8)-#REF!-#REF!-AA38))</f>
        <v>#REF!</v>
      </c>
      <c r="AB22" s="143"/>
      <c r="AC22" s="143"/>
      <c r="AD22" s="143" t="e">
        <f>((AD21)/(AD6-(AD21/0.8)-#REF!-#REF!-AD38))</f>
        <v>#REF!</v>
      </c>
      <c r="AE22" s="143" t="e">
        <f>((AE21)/(AE6-(AE21/0.8)-#REF!-#REF!-AE38))</f>
        <v>#REF!</v>
      </c>
      <c r="AF22" s="143" t="e">
        <f>((AF21)/(AF6-(AF21/0.8)-#REF!-#REF!-AF38))</f>
        <v>#REF!</v>
      </c>
      <c r="AG22" s="143"/>
      <c r="AH22" s="143"/>
      <c r="AI22" s="143"/>
      <c r="AJ22" s="143"/>
      <c r="AK22" s="143"/>
      <c r="AL22" s="183"/>
      <c r="AM22" s="143"/>
      <c r="AN22" s="154" t="e">
        <f t="shared" si="2"/>
        <v>#DIV/0!</v>
      </c>
      <c r="AO22" s="29" t="s">
        <v>48</v>
      </c>
      <c r="AP22" s="45"/>
    </row>
    <row r="23" spans="1:107" s="2" customFormat="1" ht="16.5" thickBot="1" x14ac:dyDescent="0.3">
      <c r="A23" s="166" t="s">
        <v>67</v>
      </c>
      <c r="B23" s="195" t="s">
        <v>68</v>
      </c>
      <c r="C23" s="149">
        <v>503313.71337130939</v>
      </c>
      <c r="D23" s="149">
        <v>1008374.5</v>
      </c>
      <c r="E23" s="149">
        <v>353115.85517058586</v>
      </c>
      <c r="F23" s="149">
        <v>724242</v>
      </c>
      <c r="G23" s="149">
        <v>331075.68385741522</v>
      </c>
      <c r="H23" s="149">
        <v>683018.52749999997</v>
      </c>
      <c r="I23" s="149">
        <v>380127.83983371471</v>
      </c>
      <c r="J23" s="192">
        <f>SUM(J24:J27)</f>
        <v>567536</v>
      </c>
      <c r="K23" s="192">
        <f>SUM(K24:K27)</f>
        <v>333702.12965147226</v>
      </c>
      <c r="L23" s="149" t="e">
        <f>L24+L25+L26+#REF!+#REF!+#REF!+#REF!+L27</f>
        <v>#REF!</v>
      </c>
      <c r="M23" s="149" t="e">
        <f>M24+M25+M26+#REF!+#REF!+#REF!+#REF!+M27</f>
        <v>#REF!</v>
      </c>
      <c r="N23" s="149" t="e">
        <f>N24+N25+N26+#REF!+#REF!+#REF!+#REF!+N27</f>
        <v>#REF!</v>
      </c>
      <c r="O23" s="149">
        <v>343450.43680642173</v>
      </c>
      <c r="P23" s="149">
        <v>369790.06158192008</v>
      </c>
      <c r="Q23" s="149">
        <v>422791.20555855811</v>
      </c>
      <c r="R23" s="149" t="e">
        <f>R24+R25+R26+#REF!+#REF!+#REF!+#REF!+R27</f>
        <v>#REF!</v>
      </c>
      <c r="S23" s="149" t="e">
        <f>S24+S25+S26+#REF!+#REF!+#REF!+#REF!+S27</f>
        <v>#REF!</v>
      </c>
      <c r="T23" s="196">
        <f>SUM(T24:T27)</f>
        <v>617092</v>
      </c>
      <c r="U23" s="196">
        <f>SUM(U24:U27)</f>
        <v>346286.62305541662</v>
      </c>
      <c r="V23" s="196">
        <f>SUM(V24:V27)</f>
        <v>641172</v>
      </c>
      <c r="W23" s="196">
        <f>SUM(W24:W27)</f>
        <v>359177.91606989835</v>
      </c>
      <c r="X23" s="149" t="e">
        <f>X24+X25+X26+#REF!+#REF!+#REF!+#REF!+X27</f>
        <v>#REF!</v>
      </c>
      <c r="Y23" s="149">
        <f>Y24+Y25</f>
        <v>864</v>
      </c>
      <c r="Z23" s="149">
        <f>Z24+Z25</f>
        <v>396.04168479999998</v>
      </c>
      <c r="AA23" s="149" t="e">
        <f>AA24+AA25+AA26+#REF!+#REF!+#REF!+#REF!+AA27</f>
        <v>#REF!</v>
      </c>
      <c r="AB23" s="149">
        <f>SUM(AB24:AB30)</f>
        <v>1518.6000000000001</v>
      </c>
      <c r="AC23" s="149">
        <f>SUM(AC24:AC30)</f>
        <v>1468.45</v>
      </c>
      <c r="AD23" s="149" t="e">
        <f>AD24+AD25+AD26+#REF!+#REF!+#REF!+#REF!+AD27</f>
        <v>#REF!</v>
      </c>
      <c r="AE23" s="149">
        <f>SUM(AE24:AE27)</f>
        <v>1003.0240103051678</v>
      </c>
      <c r="AF23" s="149" t="e">
        <f>AF24+AF25+AF26+#REF!+#REF!+#REF!+#REF!+AF27</f>
        <v>#REF!</v>
      </c>
      <c r="AG23" s="149">
        <f>SUM(AG24:AG30)</f>
        <v>1358.751</v>
      </c>
      <c r="AH23" s="149">
        <f>SUM(AH24:AH30)</f>
        <v>1128.5505499999999</v>
      </c>
      <c r="AI23" s="149">
        <f>SUM(AI24:AI29)</f>
        <v>2557.8999999999996</v>
      </c>
      <c r="AJ23" s="149">
        <f t="shared" ref="AJ23:AM23" si="11">SUM(AJ24:AJ27)</f>
        <v>1441.3073552787368</v>
      </c>
      <c r="AK23" s="149">
        <f t="shared" si="11"/>
        <v>0</v>
      </c>
      <c r="AL23" s="150">
        <f>SUM(AL24:AL30)</f>
        <v>2881.7</v>
      </c>
      <c r="AM23" s="149">
        <f t="shared" si="11"/>
        <v>1492.0309728087173</v>
      </c>
      <c r="AN23" s="154">
        <f t="shared" si="2"/>
        <v>1.0351927833742103</v>
      </c>
      <c r="AO23" s="47" t="e">
        <f>AA23/Q23</f>
        <v>#REF!</v>
      </c>
      <c r="AP23" s="48" t="s">
        <v>69</v>
      </c>
    </row>
    <row r="24" spans="1:107" ht="30.75" thickBot="1" x14ac:dyDescent="0.3">
      <c r="A24" s="197" t="s">
        <v>70</v>
      </c>
      <c r="B24" s="198" t="s">
        <v>71</v>
      </c>
      <c r="C24" s="150">
        <v>284853.53417129087</v>
      </c>
      <c r="D24" s="150">
        <v>509385</v>
      </c>
      <c r="E24" s="151">
        <v>316552.2</v>
      </c>
      <c r="F24" s="150">
        <v>529574</v>
      </c>
      <c r="G24" s="150">
        <v>295697.04277226917</v>
      </c>
      <c r="H24" s="151">
        <v>296013</v>
      </c>
      <c r="I24" s="150">
        <v>302098.27747798053</v>
      </c>
      <c r="J24" s="152">
        <v>550297</v>
      </c>
      <c r="K24" s="152">
        <v>306749.43360153504</v>
      </c>
      <c r="L24" s="152">
        <f>M24</f>
        <v>358058.85330999998</v>
      </c>
      <c r="M24" s="150">
        <f>225470.51522+27997.91656+55133.78463+4281.17263+45175.46427</f>
        <v>358058.85330999998</v>
      </c>
      <c r="N24" s="150">
        <v>358058.85330999998</v>
      </c>
      <c r="O24" s="150">
        <v>306749.43360153504</v>
      </c>
      <c r="P24" s="150">
        <v>330816.12985406164</v>
      </c>
      <c r="Q24" s="150">
        <v>374002.56</v>
      </c>
      <c r="R24" s="150">
        <v>386880.3</v>
      </c>
      <c r="S24" s="150">
        <f>R24</f>
        <v>386880.3</v>
      </c>
      <c r="T24" s="152">
        <v>571965</v>
      </c>
      <c r="U24" s="152">
        <v>318317.49349930667</v>
      </c>
      <c r="V24" s="152">
        <v>594284</v>
      </c>
      <c r="W24" s="152">
        <v>330167.57319377479</v>
      </c>
      <c r="X24" s="152">
        <v>406859.4</v>
      </c>
      <c r="Y24" s="152">
        <v>768</v>
      </c>
      <c r="Z24" s="150">
        <v>337.74168479999997</v>
      </c>
      <c r="AA24" s="150">
        <f>Z24</f>
        <v>337.74168479999997</v>
      </c>
      <c r="AB24" s="150">
        <v>873.1</v>
      </c>
      <c r="AC24" s="150">
        <v>873.1</v>
      </c>
      <c r="AD24" s="150">
        <v>421266.2</v>
      </c>
      <c r="AE24" s="150">
        <v>364.22401030516795</v>
      </c>
      <c r="AF24" s="150">
        <f>AE24</f>
        <v>364.22401030516795</v>
      </c>
      <c r="AG24" s="150">
        <v>528.1</v>
      </c>
      <c r="AH24" s="150">
        <v>528.1</v>
      </c>
      <c r="AI24" s="150">
        <v>2029.9</v>
      </c>
      <c r="AJ24" s="150">
        <f>AC24/AC15*AJ15</f>
        <v>933.30735527873674</v>
      </c>
      <c r="AK24" s="150"/>
      <c r="AL24" s="150">
        <v>2029.9</v>
      </c>
      <c r="AM24" s="150">
        <f>$AB$24/$AB$15*AM15</f>
        <v>973.44417022871721</v>
      </c>
      <c r="AN24" s="154">
        <f t="shared" si="2"/>
        <v>1.0430049272867816</v>
      </c>
      <c r="AO24" s="29">
        <f>AA24/Q24</f>
        <v>9.0304645187455396E-4</v>
      </c>
      <c r="AP24" s="49" t="s">
        <v>72</v>
      </c>
      <c r="AQ24" s="2" t="s">
        <v>73</v>
      </c>
      <c r="AR24" s="50">
        <f>N24/N15</f>
        <v>0.29099413839366733</v>
      </c>
    </row>
    <row r="25" spans="1:107" ht="30.75" thickBot="1" x14ac:dyDescent="0.3">
      <c r="A25" s="197" t="s">
        <v>74</v>
      </c>
      <c r="B25" s="198" t="s">
        <v>75</v>
      </c>
      <c r="C25" s="150">
        <v>191488.89458925067</v>
      </c>
      <c r="D25" s="150">
        <v>410340</v>
      </c>
      <c r="E25" s="151">
        <v>10769</v>
      </c>
      <c r="F25" s="150">
        <v>158218</v>
      </c>
      <c r="G25" s="150">
        <v>7380.6417518079616</v>
      </c>
      <c r="H25" s="151">
        <v>355037.52749999997</v>
      </c>
      <c r="I25" s="150">
        <v>48152.1</v>
      </c>
      <c r="J25" s="150">
        <v>17239</v>
      </c>
      <c r="K25" s="150">
        <f>(K18+K19+K44+K21)/0.8*0.2</f>
        <v>6114.2412543614628</v>
      </c>
      <c r="L25" s="150">
        <f>16083.3+'[2]585'!G26</f>
        <v>23936.403580775783</v>
      </c>
      <c r="M25" s="150">
        <v>0</v>
      </c>
      <c r="N25" s="150">
        <f>L25</f>
        <v>23936.403580775783</v>
      </c>
      <c r="O25" s="150">
        <v>7656.5110552240367</v>
      </c>
      <c r="P25" s="150">
        <v>0</v>
      </c>
      <c r="Q25" s="150">
        <v>10769</v>
      </c>
      <c r="R25" s="150">
        <v>33026.9</v>
      </c>
      <c r="S25" s="150">
        <f>R25</f>
        <v>33026.9</v>
      </c>
      <c r="T25" s="150">
        <v>17918</v>
      </c>
      <c r="U25" s="150">
        <f>(U18+U19+U44+U21)/0.8*0.2</f>
        <v>6344.8200307570442</v>
      </c>
      <c r="V25" s="150">
        <v>18617</v>
      </c>
      <c r="W25" s="150">
        <f>(W18+W19+W44+W21)/0.8*0.2</f>
        <v>6581.020128291716</v>
      </c>
      <c r="X25" s="150">
        <v>23936.400000000001</v>
      </c>
      <c r="Y25" s="150">
        <v>96</v>
      </c>
      <c r="Z25" s="150">
        <v>58.3</v>
      </c>
      <c r="AA25" s="150">
        <f>Z25</f>
        <v>58.3</v>
      </c>
      <c r="AB25" s="150">
        <v>0</v>
      </c>
      <c r="AC25" s="150">
        <v>0</v>
      </c>
      <c r="AD25" s="150">
        <f>S25</f>
        <v>33026.9</v>
      </c>
      <c r="AE25" s="150">
        <v>100</v>
      </c>
      <c r="AF25" s="150">
        <f>AE25</f>
        <v>100</v>
      </c>
      <c r="AG25" s="150">
        <v>2.2999999999999998</v>
      </c>
      <c r="AH25" s="182"/>
      <c r="AI25" s="150">
        <v>0</v>
      </c>
      <c r="AJ25" s="150">
        <f>AC25</f>
        <v>0</v>
      </c>
      <c r="AK25" s="150"/>
      <c r="AL25" s="150">
        <v>2.2999999999999998</v>
      </c>
      <c r="AM25" s="182">
        <v>0</v>
      </c>
      <c r="AN25" s="154" t="e">
        <f t="shared" si="2"/>
        <v>#DIV/0!</v>
      </c>
      <c r="AO25" s="29">
        <f>AA25/Q25</f>
        <v>5.413687436159346E-3</v>
      </c>
      <c r="AP25" s="49" t="s">
        <v>76</v>
      </c>
    </row>
    <row r="26" spans="1:107" ht="24" customHeight="1" thickBot="1" x14ac:dyDescent="0.3">
      <c r="A26" s="197" t="s">
        <v>77</v>
      </c>
      <c r="B26" s="198" t="s">
        <v>78</v>
      </c>
      <c r="C26" s="150">
        <v>24232.136117575905</v>
      </c>
      <c r="D26" s="150">
        <v>24232</v>
      </c>
      <c r="E26" s="151">
        <v>22459.697624320477</v>
      </c>
      <c r="F26" s="150">
        <v>25193</v>
      </c>
      <c r="G26" s="150">
        <v>25154.579793147448</v>
      </c>
      <c r="H26" s="151">
        <v>27437</v>
      </c>
      <c r="I26" s="150">
        <v>26458.448579889817</v>
      </c>
      <c r="J26" s="150"/>
      <c r="K26" s="150">
        <f>G26*$K$12</f>
        <v>20838.454795575766</v>
      </c>
      <c r="L26" s="150">
        <f>M26</f>
        <v>27878.348829999999</v>
      </c>
      <c r="M26" s="150">
        <v>27878.348829999999</v>
      </c>
      <c r="N26" s="150">
        <f>M26</f>
        <v>27878.348829999999</v>
      </c>
      <c r="O26" s="150">
        <v>26094.792939729152</v>
      </c>
      <c r="P26" s="150">
        <v>34219</v>
      </c>
      <c r="Q26" s="150">
        <v>33934.521908616567</v>
      </c>
      <c r="R26" s="150">
        <v>32431.1</v>
      </c>
      <c r="S26" s="150">
        <f>R26</f>
        <v>32431.1</v>
      </c>
      <c r="T26" s="150">
        <v>27209</v>
      </c>
      <c r="U26" s="150">
        <f>K26*$U$12</f>
        <v>21624.30952535291</v>
      </c>
      <c r="V26" s="150">
        <v>28271</v>
      </c>
      <c r="W26" s="150">
        <f>U26*$W$12</f>
        <v>22429.322747831793</v>
      </c>
      <c r="X26" s="150">
        <v>35271.699999999997</v>
      </c>
      <c r="Y26" s="150">
        <v>0</v>
      </c>
      <c r="Z26" s="150">
        <v>0</v>
      </c>
      <c r="AA26" s="150">
        <f>Z26</f>
        <v>0</v>
      </c>
      <c r="AB26" s="150">
        <v>589.9</v>
      </c>
      <c r="AC26" s="150">
        <v>589.9</v>
      </c>
      <c r="AD26" s="150">
        <f>'[2]Налог на имущ 2018'!G24</f>
        <v>68268.521865334522</v>
      </c>
      <c r="AE26" s="150">
        <v>538.79999999999995</v>
      </c>
      <c r="AF26" s="150">
        <f>AE26</f>
        <v>538.79999999999995</v>
      </c>
      <c r="AG26" s="150">
        <v>767.7</v>
      </c>
      <c r="AH26" s="150">
        <f>'[1]налог на имущ 2020'!AA25/1000</f>
        <v>551.87754999999993</v>
      </c>
      <c r="AI26" s="150">
        <v>517.79999999999995</v>
      </c>
      <c r="AJ26" s="150">
        <v>508</v>
      </c>
      <c r="AK26" s="150"/>
      <c r="AL26" s="150">
        <v>768.5</v>
      </c>
      <c r="AM26" s="150">
        <f>'[1]налог на миущ 2022'!I59/1000</f>
        <v>518.58680257999993</v>
      </c>
      <c r="AN26" s="154">
        <f t="shared" si="2"/>
        <v>1.0208401625590551</v>
      </c>
      <c r="AO26" s="29" t="e">
        <f>AF26/AA26</f>
        <v>#DIV/0!</v>
      </c>
      <c r="AP26" s="41" t="s">
        <v>79</v>
      </c>
    </row>
    <row r="27" spans="1:107" ht="16.5" hidden="1" thickBot="1" x14ac:dyDescent="0.3">
      <c r="A27" s="199"/>
      <c r="B27" s="200" t="s">
        <v>80</v>
      </c>
      <c r="C27" s="150">
        <v>0</v>
      </c>
      <c r="D27" s="150">
        <v>0</v>
      </c>
      <c r="E27" s="151">
        <v>0</v>
      </c>
      <c r="F27" s="150">
        <v>0</v>
      </c>
      <c r="G27" s="150">
        <v>0</v>
      </c>
      <c r="H27" s="151">
        <v>0</v>
      </c>
      <c r="I27" s="150">
        <v>0</v>
      </c>
      <c r="J27" s="150"/>
      <c r="K27" s="150">
        <f>G27*$K$12</f>
        <v>0</v>
      </c>
      <c r="L27" s="150"/>
      <c r="M27" s="150">
        <v>0</v>
      </c>
      <c r="N27" s="150">
        <v>0</v>
      </c>
      <c r="O27" s="150">
        <v>0</v>
      </c>
      <c r="P27" s="150">
        <v>0</v>
      </c>
      <c r="Q27" s="150">
        <v>0</v>
      </c>
      <c r="R27" s="150"/>
      <c r="S27" s="150"/>
      <c r="T27" s="150"/>
      <c r="U27" s="150">
        <f>K27*$U$12</f>
        <v>0</v>
      </c>
      <c r="V27" s="150"/>
      <c r="W27" s="150">
        <f>U27*$W$12</f>
        <v>0</v>
      </c>
      <c r="X27" s="150"/>
      <c r="Y27" s="150">
        <v>1.72</v>
      </c>
      <c r="Z27" s="150">
        <v>1.72</v>
      </c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4" t="e">
        <f t="shared" si="2"/>
        <v>#DIV/0!</v>
      </c>
      <c r="AO27" s="29"/>
      <c r="AP27" s="45"/>
    </row>
    <row r="28" spans="1:107" ht="16.5" thickBot="1" x14ac:dyDescent="0.3">
      <c r="A28" s="199"/>
      <c r="B28" s="200" t="s">
        <v>81</v>
      </c>
      <c r="C28" s="150"/>
      <c r="D28" s="150"/>
      <c r="E28" s="151"/>
      <c r="F28" s="150"/>
      <c r="G28" s="150"/>
      <c r="H28" s="151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82">
        <v>0.35099999999999998</v>
      </c>
      <c r="AH28" s="182">
        <f>'[1]Тран Нал.'!Z14/1000</f>
        <v>0.27300000000000002</v>
      </c>
      <c r="AI28" s="150"/>
      <c r="AJ28" s="150"/>
      <c r="AK28" s="150"/>
      <c r="AL28" s="150">
        <v>1</v>
      </c>
      <c r="AM28" s="150">
        <f>'[1]Тран Нал.'!Z6/1000</f>
        <v>0.81899999999999995</v>
      </c>
      <c r="AN28" s="154"/>
      <c r="AO28" s="29"/>
      <c r="AP28" s="45"/>
    </row>
    <row r="29" spans="1:107" ht="16.5" thickBot="1" x14ac:dyDescent="0.3">
      <c r="A29" s="199"/>
      <c r="B29" s="200" t="s">
        <v>80</v>
      </c>
      <c r="C29" s="150"/>
      <c r="D29" s="150"/>
      <c r="E29" s="151"/>
      <c r="F29" s="150"/>
      <c r="G29" s="150"/>
      <c r="H29" s="151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>
        <v>10.199999999999999</v>
      </c>
      <c r="AC29" s="150">
        <v>0</v>
      </c>
      <c r="AD29" s="150"/>
      <c r="AE29" s="150">
        <v>0</v>
      </c>
      <c r="AF29" s="150"/>
      <c r="AG29" s="150">
        <v>0</v>
      </c>
      <c r="AH29" s="150">
        <v>0</v>
      </c>
      <c r="AI29" s="150">
        <v>10.199999999999999</v>
      </c>
      <c r="AJ29" s="150">
        <v>0</v>
      </c>
      <c r="AK29" s="150"/>
      <c r="AL29" s="150">
        <v>0</v>
      </c>
      <c r="AM29" s="150">
        <v>0</v>
      </c>
      <c r="AN29" s="154" t="e">
        <f t="shared" si="2"/>
        <v>#DIV/0!</v>
      </c>
      <c r="AO29" s="29"/>
      <c r="AP29" s="45"/>
    </row>
    <row r="30" spans="1:107" ht="16.5" thickBot="1" x14ac:dyDescent="0.3">
      <c r="A30" s="199"/>
      <c r="B30" s="200" t="s">
        <v>82</v>
      </c>
      <c r="C30" s="150"/>
      <c r="D30" s="150"/>
      <c r="E30" s="151"/>
      <c r="F30" s="150"/>
      <c r="G30" s="150"/>
      <c r="H30" s="151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>
        <v>45.4</v>
      </c>
      <c r="AC30" s="150">
        <v>5.45</v>
      </c>
      <c r="AD30" s="150"/>
      <c r="AE30" s="150">
        <v>0</v>
      </c>
      <c r="AF30" s="150"/>
      <c r="AG30" s="150">
        <v>60.3</v>
      </c>
      <c r="AH30" s="150">
        <f>[1]госпошлина!H20/1000</f>
        <v>48.3</v>
      </c>
      <c r="AI30" s="150">
        <v>0</v>
      </c>
      <c r="AJ30" s="150">
        <v>0</v>
      </c>
      <c r="AK30" s="150"/>
      <c r="AL30" s="150">
        <v>80</v>
      </c>
      <c r="AM30" s="150">
        <f>'[1]Госпошлина 2022'!C5/1000</f>
        <v>71.2</v>
      </c>
      <c r="AN30" s="154" t="e">
        <f t="shared" si="2"/>
        <v>#DIV/0!</v>
      </c>
      <c r="AO30" s="29"/>
      <c r="AP30" s="45"/>
    </row>
    <row r="31" spans="1:107" ht="33.75" customHeight="1" thickBot="1" x14ac:dyDescent="0.3">
      <c r="A31" s="166" t="s">
        <v>83</v>
      </c>
      <c r="B31" s="201" t="s">
        <v>84</v>
      </c>
      <c r="C31" s="149">
        <v>402943.33641270403</v>
      </c>
      <c r="D31" s="149">
        <v>432793</v>
      </c>
      <c r="E31" s="149">
        <v>423571.9</v>
      </c>
      <c r="F31" s="149">
        <v>466886</v>
      </c>
      <c r="G31" s="149">
        <v>418282.16293976374</v>
      </c>
      <c r="H31" s="149">
        <v>491366</v>
      </c>
      <c r="I31" s="149">
        <v>402759.26626000012</v>
      </c>
      <c r="J31" s="192">
        <v>493178</v>
      </c>
      <c r="K31" s="192">
        <f>G31*K12</f>
        <v>346511.61004845775</v>
      </c>
      <c r="L31" s="149">
        <f>M31</f>
        <v>455532.41941000009</v>
      </c>
      <c r="M31" s="149">
        <f>263842.69303+6860.63024+37.39119+15789.49323+12998.83449+35.14091+1814.70947+141101.39147+29.1637+124.80965+15.05856+50.65977+12308.91554+515.89796+7.6302</f>
        <v>455532.41941000009</v>
      </c>
      <c r="N31" s="149">
        <f>M31</f>
        <v>455532.41941000009</v>
      </c>
      <c r="O31" s="149">
        <v>433916.46857359231</v>
      </c>
      <c r="P31" s="149">
        <v>399121</v>
      </c>
      <c r="Q31" s="149">
        <v>467029.39571999997</v>
      </c>
      <c r="R31" s="149">
        <v>457902.5</v>
      </c>
      <c r="S31" s="149">
        <f>'[2]Амортизация 2018'!B25548</f>
        <v>457902.54036000004</v>
      </c>
      <c r="T31" s="149">
        <v>519689</v>
      </c>
      <c r="U31" s="149">
        <f>K31*U12</f>
        <v>359579.17145599017</v>
      </c>
      <c r="V31" s="149">
        <v>519689</v>
      </c>
      <c r="W31" s="149">
        <f>U31*W12</f>
        <v>372965.30927512824</v>
      </c>
      <c r="X31" s="149">
        <v>475106</v>
      </c>
      <c r="Y31" s="149">
        <v>1598.6</v>
      </c>
      <c r="Z31" s="149">
        <v>1688.5331190476193</v>
      </c>
      <c r="AA31" s="149"/>
      <c r="AB31" s="149">
        <v>1668.5</v>
      </c>
      <c r="AC31" s="149">
        <v>1962.5487113333336</v>
      </c>
      <c r="AD31" s="149">
        <f>'[2]Амортизация 2018'!G25548</f>
        <v>451766.80679944356</v>
      </c>
      <c r="AE31" s="149">
        <v>1752.0679363809527</v>
      </c>
      <c r="AF31" s="149">
        <f>AE31</f>
        <v>1752.0679363809527</v>
      </c>
      <c r="AG31" s="149">
        <v>3658.5</v>
      </c>
      <c r="AH31" s="202">
        <f>'[1]амортиз 2020'!H21/1000</f>
        <v>2118.1029400793655</v>
      </c>
      <c r="AI31" s="149">
        <v>2505</v>
      </c>
      <c r="AJ31" s="149">
        <f>'[1]амортиз 2020'!H21/1000</f>
        <v>2118.1029400793655</v>
      </c>
      <c r="AK31" s="149"/>
      <c r="AL31" s="150">
        <f>'[1]расчет амортиз 2022'!I22/1000</f>
        <v>2350.1841666666664</v>
      </c>
      <c r="AM31" s="202">
        <f>'[1]расчет амортиз 2022'!I22/1000</f>
        <v>2350.1841666666664</v>
      </c>
      <c r="AN31" s="154">
        <f t="shared" si="2"/>
        <v>1.1095703245558994</v>
      </c>
      <c r="AO31" s="47">
        <f>AA31/Q31</f>
        <v>0</v>
      </c>
      <c r="AP31" s="39" t="s">
        <v>85</v>
      </c>
    </row>
    <row r="32" spans="1:107" ht="18.75" customHeight="1" thickBot="1" x14ac:dyDescent="0.3">
      <c r="A32" s="166"/>
      <c r="B32" s="201" t="s">
        <v>86</v>
      </c>
      <c r="C32" s="149"/>
      <c r="D32" s="149"/>
      <c r="E32" s="149"/>
      <c r="F32" s="149"/>
      <c r="G32" s="149"/>
      <c r="H32" s="149"/>
      <c r="I32" s="149"/>
      <c r="J32" s="192"/>
      <c r="K32" s="192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>
        <f>Y33+Y34</f>
        <v>837.3</v>
      </c>
      <c r="Z32" s="149">
        <f>SUM(Z33:Z34)</f>
        <v>466.3</v>
      </c>
      <c r="AA32" s="149">
        <f>SUM(AA33:AA34)</f>
        <v>0</v>
      </c>
      <c r="AB32" s="149">
        <f>SUM(AB33:AB35)</f>
        <v>2174</v>
      </c>
      <c r="AC32" s="149">
        <f>SUM(AC33:AC34)</f>
        <v>537.03999015336012</v>
      </c>
      <c r="AD32" s="149">
        <f>SUM(AD33:AD34)</f>
        <v>0</v>
      </c>
      <c r="AE32" s="149">
        <f>SUM(AE33:AE34)</f>
        <v>450.8</v>
      </c>
      <c r="AF32" s="149">
        <f>SUM(AF33:AF34)</f>
        <v>0</v>
      </c>
      <c r="AG32" s="149">
        <f>SUM(AG33:AG35)</f>
        <v>2382.6999999999998</v>
      </c>
      <c r="AH32" s="149">
        <f>SUM(AH33:AH35)</f>
        <v>569.11432270893908</v>
      </c>
      <c r="AI32" s="149">
        <f>SUM(AI33:AI35)</f>
        <v>2570.3000000000002</v>
      </c>
      <c r="AJ32" s="149">
        <f t="shared" ref="AJ32:AL32" si="12">SUM(AJ33:AJ35)</f>
        <v>542.95832989690723</v>
      </c>
      <c r="AK32" s="149">
        <f t="shared" si="12"/>
        <v>0</v>
      </c>
      <c r="AL32" s="150">
        <f t="shared" si="12"/>
        <v>2406.6999999999998</v>
      </c>
      <c r="AM32" s="149">
        <f t="shared" ref="AM32" si="13">AM33+AM34+AM35</f>
        <v>596.18331736259813</v>
      </c>
      <c r="AN32" s="154">
        <f t="shared" si="2"/>
        <v>1.0980277574446584</v>
      </c>
      <c r="AO32" s="47"/>
      <c r="AP32" s="39"/>
    </row>
    <row r="33" spans="1:107" ht="18.75" customHeight="1" thickBot="1" x14ac:dyDescent="0.3">
      <c r="A33" s="166"/>
      <c r="B33" s="203" t="s">
        <v>87</v>
      </c>
      <c r="C33" s="149"/>
      <c r="D33" s="149"/>
      <c r="E33" s="149"/>
      <c r="F33" s="149"/>
      <c r="G33" s="149"/>
      <c r="H33" s="149"/>
      <c r="I33" s="149"/>
      <c r="J33" s="192"/>
      <c r="K33" s="192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50">
        <v>517.5</v>
      </c>
      <c r="Z33" s="150">
        <v>466.3</v>
      </c>
      <c r="AA33" s="150"/>
      <c r="AB33" s="150">
        <v>571.20000000000005</v>
      </c>
      <c r="AC33" s="150">
        <f>'[1]аренда  электрооб. 2020'!R13/1000</f>
        <v>450.81799999999998</v>
      </c>
      <c r="AD33" s="150"/>
      <c r="AE33" s="150">
        <v>450.8</v>
      </c>
      <c r="AF33" s="150"/>
      <c r="AG33" s="150">
        <v>898.8</v>
      </c>
      <c r="AH33" s="150">
        <f>'[1]аренда  электрооб. 2020'!R13/1000</f>
        <v>450.81799999999998</v>
      </c>
      <c r="AI33" s="150">
        <v>571.20000000000005</v>
      </c>
      <c r="AJ33" s="150">
        <v>450.81799999999998</v>
      </c>
      <c r="AK33" s="150"/>
      <c r="AL33" s="150">
        <v>898.8</v>
      </c>
      <c r="AM33" s="150">
        <f>AJ33</f>
        <v>450.81799999999998</v>
      </c>
      <c r="AN33" s="154">
        <f t="shared" si="2"/>
        <v>1</v>
      </c>
      <c r="AO33" s="47"/>
      <c r="AP33" s="39"/>
    </row>
    <row r="34" spans="1:107" ht="18.75" customHeight="1" thickBot="1" x14ac:dyDescent="0.3">
      <c r="A34" s="166"/>
      <c r="B34" s="198" t="s">
        <v>88</v>
      </c>
      <c r="C34" s="149"/>
      <c r="D34" s="149"/>
      <c r="E34" s="149"/>
      <c r="F34" s="149"/>
      <c r="G34" s="149"/>
      <c r="H34" s="149"/>
      <c r="I34" s="149"/>
      <c r="J34" s="192"/>
      <c r="K34" s="192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50">
        <v>319.8</v>
      </c>
      <c r="Z34" s="150">
        <v>0</v>
      </c>
      <c r="AA34" s="150"/>
      <c r="AB34" s="150">
        <v>333.6</v>
      </c>
      <c r="AC34" s="150">
        <v>86.221990153360096</v>
      </c>
      <c r="AD34" s="150"/>
      <c r="AE34" s="150">
        <v>0</v>
      </c>
      <c r="AF34" s="150"/>
      <c r="AG34" s="150">
        <v>309.60000000000002</v>
      </c>
      <c r="AH34" s="150">
        <f>'[1]аренда офиса'!E3/1000</f>
        <v>118.29632270893912</v>
      </c>
      <c r="AI34" s="150">
        <v>333.6</v>
      </c>
      <c r="AJ34" s="150">
        <v>92.140329896907232</v>
      </c>
      <c r="AK34" s="150"/>
      <c r="AL34" s="150">
        <v>333.6</v>
      </c>
      <c r="AM34" s="150">
        <f>'[1]аренда офиса'!F3/1000</f>
        <v>145.36531736259818</v>
      </c>
      <c r="AN34" s="154">
        <f t="shared" si="2"/>
        <v>1.5776513664021241</v>
      </c>
      <c r="AO34" s="47"/>
      <c r="AP34" s="39"/>
    </row>
    <row r="35" spans="1:107" ht="18.75" customHeight="1" thickBot="1" x14ac:dyDescent="0.3">
      <c r="A35" s="166"/>
      <c r="B35" s="198" t="s">
        <v>89</v>
      </c>
      <c r="C35" s="149"/>
      <c r="D35" s="149"/>
      <c r="E35" s="149"/>
      <c r="F35" s="149"/>
      <c r="G35" s="149"/>
      <c r="H35" s="149"/>
      <c r="I35" s="149"/>
      <c r="J35" s="192"/>
      <c r="K35" s="192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50">
        <v>0</v>
      </c>
      <c r="Z35" s="150">
        <v>0</v>
      </c>
      <c r="AA35" s="150"/>
      <c r="AB35" s="150">
        <v>1269.2</v>
      </c>
      <c r="AC35" s="150">
        <v>0</v>
      </c>
      <c r="AD35" s="150"/>
      <c r="AE35" s="150">
        <v>0</v>
      </c>
      <c r="AF35" s="150"/>
      <c r="AG35" s="150">
        <v>1174.3</v>
      </c>
      <c r="AH35" s="150">
        <v>0</v>
      </c>
      <c r="AI35" s="150">
        <v>1665.5</v>
      </c>
      <c r="AJ35" s="150">
        <v>0</v>
      </c>
      <c r="AK35" s="150"/>
      <c r="AL35" s="150">
        <v>1174.3</v>
      </c>
      <c r="AM35" s="150">
        <v>0</v>
      </c>
      <c r="AN35" s="154" t="e">
        <f t="shared" si="2"/>
        <v>#DIV/0!</v>
      </c>
      <c r="AO35" s="47"/>
      <c r="AP35" s="39"/>
    </row>
    <row r="36" spans="1:107" ht="30.75" thickBot="1" x14ac:dyDescent="0.3">
      <c r="A36" s="166" t="s">
        <v>90</v>
      </c>
      <c r="B36" s="201" t="s">
        <v>91</v>
      </c>
      <c r="C36" s="149">
        <v>101818.29</v>
      </c>
      <c r="D36" s="149">
        <v>90588</v>
      </c>
      <c r="E36" s="149">
        <v>70456.81</v>
      </c>
      <c r="F36" s="149"/>
      <c r="G36" s="149"/>
      <c r="H36" s="149">
        <v>312618.3</v>
      </c>
      <c r="I36" s="149">
        <v>97125.734138854779</v>
      </c>
      <c r="J36" s="168"/>
      <c r="K36" s="168"/>
      <c r="L36" s="149">
        <v>0</v>
      </c>
      <c r="M36" s="149">
        <v>0</v>
      </c>
      <c r="N36" s="149">
        <v>100587.41246215026</v>
      </c>
      <c r="O36" s="149"/>
      <c r="P36" s="149">
        <v>128917</v>
      </c>
      <c r="Q36" s="149">
        <v>82551.990000000005</v>
      </c>
      <c r="R36" s="149">
        <v>82202.975000000006</v>
      </c>
      <c r="S36" s="149">
        <v>82202.975000000006</v>
      </c>
      <c r="T36" s="149"/>
      <c r="U36" s="149"/>
      <c r="V36" s="149"/>
      <c r="W36" s="149"/>
      <c r="X36" s="149">
        <v>126116.6</v>
      </c>
      <c r="Y36" s="149">
        <v>0</v>
      </c>
      <c r="Z36" s="149">
        <v>61.1</v>
      </c>
      <c r="AA36" s="149">
        <f>Z36</f>
        <v>61.1</v>
      </c>
      <c r="AB36" s="149">
        <v>0</v>
      </c>
      <c r="AC36" s="149">
        <v>0</v>
      </c>
      <c r="AD36" s="149">
        <v>119464.1</v>
      </c>
      <c r="AE36" s="149">
        <v>305.39999999999998</v>
      </c>
      <c r="AF36" s="149">
        <f>AE36</f>
        <v>305.39999999999998</v>
      </c>
      <c r="AG36" s="202">
        <v>480</v>
      </c>
      <c r="AH36" s="202"/>
      <c r="AI36" s="149">
        <v>0</v>
      </c>
      <c r="AJ36" s="149">
        <v>0</v>
      </c>
      <c r="AK36" s="149"/>
      <c r="AL36" s="150">
        <v>500</v>
      </c>
      <c r="AM36" s="202">
        <f>AJ36</f>
        <v>0</v>
      </c>
      <c r="AN36" s="154" t="e">
        <f t="shared" si="2"/>
        <v>#DIV/0!</v>
      </c>
      <c r="AO36" s="47">
        <f t="shared" ref="AO36:AO41" si="14">AA36/Q36</f>
        <v>7.4013963806323746E-4</v>
      </c>
      <c r="AP36" s="39" t="s">
        <v>92</v>
      </c>
    </row>
    <row r="37" spans="1:107" ht="21" customHeight="1" thickBot="1" x14ac:dyDescent="0.3">
      <c r="A37" s="166" t="s">
        <v>93</v>
      </c>
      <c r="B37" s="201" t="s">
        <v>94</v>
      </c>
      <c r="C37" s="149">
        <v>658303.61047319847</v>
      </c>
      <c r="D37" s="149">
        <v>712058.59266684565</v>
      </c>
      <c r="E37" s="149">
        <v>678670.05690364249</v>
      </c>
      <c r="F37" s="149">
        <v>784629</v>
      </c>
      <c r="G37" s="149">
        <v>727502.35203218705</v>
      </c>
      <c r="H37" s="149">
        <v>702340.20375462505</v>
      </c>
      <c r="I37" s="149">
        <v>698568.72309518105</v>
      </c>
      <c r="J37" s="168">
        <f>J38+J39+J40+J41</f>
        <v>864625</v>
      </c>
      <c r="K37" s="168">
        <f>K38+K39+K40+K41</f>
        <v>602674.54281337804</v>
      </c>
      <c r="L37" s="149">
        <f>L38+L39+L40+L41</f>
        <v>605811.65971000004</v>
      </c>
      <c r="M37" s="149" t="e">
        <f>M38+M39+M40+M41+#REF!</f>
        <v>#REF!</v>
      </c>
      <c r="N37" s="149" t="e">
        <f>N38+N39+N40+N41+#REF!</f>
        <v>#REF!</v>
      </c>
      <c r="O37" s="149">
        <v>754694.50873583858</v>
      </c>
      <c r="P37" s="149">
        <v>627954.66</v>
      </c>
      <c r="Q37" s="149">
        <v>641375.9229454539</v>
      </c>
      <c r="R37" s="149">
        <f t="shared" ref="R37:X37" si="15">R38+R39+R40+R41</f>
        <v>765602.60000000009</v>
      </c>
      <c r="S37" s="149">
        <f t="shared" si="15"/>
        <v>765602.60000000009</v>
      </c>
      <c r="T37" s="149">
        <f t="shared" si="15"/>
        <v>952811</v>
      </c>
      <c r="U37" s="149">
        <f t="shared" si="15"/>
        <v>625402.45832497941</v>
      </c>
      <c r="V37" s="149">
        <f t="shared" si="15"/>
        <v>1050026</v>
      </c>
      <c r="W37" s="149">
        <f t="shared" si="15"/>
        <v>648684.46174488706</v>
      </c>
      <c r="X37" s="149">
        <f t="shared" si="15"/>
        <v>768984.9431888765</v>
      </c>
      <c r="Y37" s="149">
        <f>SUM(Y38:Y41)</f>
        <v>1173.0999999999999</v>
      </c>
      <c r="Z37" s="149">
        <f>SUM(Z38:Z41)</f>
        <v>1223.2</v>
      </c>
      <c r="AA37" s="149">
        <f t="shared" ref="AA37:AI37" si="16">AA38+AA39+AA40+AA41</f>
        <v>1223.2</v>
      </c>
      <c r="AB37" s="149">
        <f t="shared" si="16"/>
        <v>1062.336</v>
      </c>
      <c r="AC37" s="149">
        <f t="shared" si="16"/>
        <v>966.34226251089672</v>
      </c>
      <c r="AD37" s="149">
        <f t="shared" si="16"/>
        <v>609785.64807852765</v>
      </c>
      <c r="AE37" s="149">
        <f t="shared" si="16"/>
        <v>1377.8317109280001</v>
      </c>
      <c r="AF37" s="149">
        <f t="shared" si="16"/>
        <v>1377.8317109280001</v>
      </c>
      <c r="AG37" s="149">
        <f>SUM(AG38:AG41)</f>
        <v>1228.7</v>
      </c>
      <c r="AH37" s="149">
        <f>SUM(AH38:AH41)</f>
        <v>1085.69226</v>
      </c>
      <c r="AI37" s="149">
        <f t="shared" si="16"/>
        <v>1305.25</v>
      </c>
      <c r="AJ37" s="149" t="e">
        <f>AJ38+AJ39+AJ40+AJ41+AJ63</f>
        <v>#REF!</v>
      </c>
      <c r="AK37" s="149">
        <f t="shared" ref="AK37:AM37" si="17">AK38+AK39+AK40+AK41</f>
        <v>0</v>
      </c>
      <c r="AL37" s="150">
        <f>SUM(AL38:AL41)</f>
        <v>1741</v>
      </c>
      <c r="AM37" s="149">
        <f t="shared" si="17"/>
        <v>1171.8421571935621</v>
      </c>
      <c r="AN37" s="154" t="e">
        <f t="shared" si="2"/>
        <v>#REF!</v>
      </c>
      <c r="AO37" s="47">
        <f t="shared" si="14"/>
        <v>1.9071498574230509E-3</v>
      </c>
      <c r="AP37" s="48" t="s">
        <v>69</v>
      </c>
    </row>
    <row r="38" spans="1:107" ht="21.75" customHeight="1" thickBot="1" x14ac:dyDescent="0.3">
      <c r="A38" s="204" t="s">
        <v>95</v>
      </c>
      <c r="B38" s="200" t="s">
        <v>133</v>
      </c>
      <c r="C38" s="150">
        <v>563417.61197545601</v>
      </c>
      <c r="D38" s="150">
        <v>607410.12898411509</v>
      </c>
      <c r="E38" s="151">
        <v>586758.80000000005</v>
      </c>
      <c r="F38" s="150">
        <v>668151</v>
      </c>
      <c r="G38" s="150">
        <v>629004.33234118915</v>
      </c>
      <c r="H38" s="150">
        <v>588955.0037546251</v>
      </c>
      <c r="I38" s="150">
        <v>588936.15894230199</v>
      </c>
      <c r="J38" s="150">
        <v>734966</v>
      </c>
      <c r="K38" s="150">
        <f>G38*$K$12</f>
        <v>521077.21351337759</v>
      </c>
      <c r="L38" s="150">
        <f>M38</f>
        <v>563108.13668</v>
      </c>
      <c r="M38" s="150">
        <f>563108.13668</f>
        <v>563108.13668</v>
      </c>
      <c r="N38" s="150">
        <f>M38-'[2]Отчет ТСО'!D229</f>
        <v>584843.54553999996</v>
      </c>
      <c r="O38" s="150">
        <v>652514.88777034963</v>
      </c>
      <c r="P38" s="150">
        <v>521640</v>
      </c>
      <c r="Q38" s="150">
        <v>597264.47662193992</v>
      </c>
      <c r="R38" s="150">
        <v>718127.8</v>
      </c>
      <c r="S38" s="150">
        <f>R38</f>
        <v>718127.8</v>
      </c>
      <c r="T38" s="150">
        <v>808463</v>
      </c>
      <c r="U38" s="150">
        <f>K38*$U$12</f>
        <v>540727.95042432752</v>
      </c>
      <c r="V38" s="150">
        <v>889309</v>
      </c>
      <c r="W38" s="150">
        <f>U38*$W$12</f>
        <v>560857.75615732174</v>
      </c>
      <c r="X38" s="150">
        <v>716558</v>
      </c>
      <c r="Y38" s="150">
        <v>1173.0999999999999</v>
      </c>
      <c r="Z38" s="150">
        <v>1223.2</v>
      </c>
      <c r="AA38" s="150">
        <f>Z38</f>
        <v>1223.2</v>
      </c>
      <c r="AB38" s="150">
        <v>921.48</v>
      </c>
      <c r="AC38" s="150">
        <v>921.48371999999995</v>
      </c>
      <c r="AD38" s="150">
        <f>'[2]ФСК 2018'!Q22</f>
        <v>558277.64706403483</v>
      </c>
      <c r="AE38" s="150">
        <v>1377.8317109280001</v>
      </c>
      <c r="AF38" s="150">
        <f>AE38</f>
        <v>1377.8317109280001</v>
      </c>
      <c r="AG38" s="150">
        <v>969.6</v>
      </c>
      <c r="AH38" s="150">
        <v>969.6</v>
      </c>
      <c r="AI38" s="150">
        <v>1164.3499999999999</v>
      </c>
      <c r="AJ38" s="150">
        <f>('[1]усл ФСК'!E23+'[1]потери ФСК'!K21)/1000</f>
        <v>1098.8364192879001</v>
      </c>
      <c r="AK38" s="150"/>
      <c r="AL38" s="150">
        <v>1466</v>
      </c>
      <c r="AM38" s="182">
        <f>AJ38</f>
        <v>1098.8364192879001</v>
      </c>
      <c r="AN38" s="154">
        <f t="shared" si="2"/>
        <v>1</v>
      </c>
      <c r="AO38" s="29">
        <f t="shared" si="14"/>
        <v>2.0480039377501246E-3</v>
      </c>
      <c r="AP38" s="51" t="s">
        <v>96</v>
      </c>
    </row>
    <row r="39" spans="1:107" ht="25.5" customHeight="1" thickBot="1" x14ac:dyDescent="0.3">
      <c r="A39" s="204" t="s">
        <v>97</v>
      </c>
      <c r="B39" s="200" t="s">
        <v>98</v>
      </c>
      <c r="C39" s="150">
        <v>88076.259727009296</v>
      </c>
      <c r="D39" s="150">
        <v>95705.780192846432</v>
      </c>
      <c r="E39" s="151">
        <v>85626</v>
      </c>
      <c r="F39" s="150">
        <v>106712</v>
      </c>
      <c r="G39" s="150">
        <v>91429.054889555773</v>
      </c>
      <c r="H39" s="150">
        <v>104930.2</v>
      </c>
      <c r="I39" s="150">
        <v>102062.82335527701</v>
      </c>
      <c r="J39" s="150">
        <v>118983</v>
      </c>
      <c r="K39" s="150">
        <f>G39*$K$12</f>
        <v>75741.286198596907</v>
      </c>
      <c r="L39" s="150">
        <f>M39</f>
        <v>36146.190620000001</v>
      </c>
      <c r="M39" s="150">
        <v>36146.190620000001</v>
      </c>
      <c r="N39" s="150">
        <f>M39</f>
        <v>36146.190620000001</v>
      </c>
      <c r="O39" s="150">
        <v>94846.436539084185</v>
      </c>
      <c r="P39" s="150">
        <v>98019.38</v>
      </c>
      <c r="Q39" s="150">
        <v>36099.475234609308</v>
      </c>
      <c r="R39" s="150">
        <v>40604.1</v>
      </c>
      <c r="S39" s="150">
        <f>R39</f>
        <v>40604.1</v>
      </c>
      <c r="T39" s="150">
        <v>132667</v>
      </c>
      <c r="U39" s="150">
        <f>K39*$U$12</f>
        <v>78597.623128684878</v>
      </c>
      <c r="V39" s="150">
        <v>147924</v>
      </c>
      <c r="W39" s="150">
        <f>U39*$W$12</f>
        <v>81523.595206536498</v>
      </c>
      <c r="X39" s="150">
        <v>43824.3</v>
      </c>
      <c r="Y39" s="150">
        <v>0</v>
      </c>
      <c r="Z39" s="150">
        <v>0</v>
      </c>
      <c r="AA39" s="150">
        <f>Z39</f>
        <v>0</v>
      </c>
      <c r="AB39" s="150">
        <v>0</v>
      </c>
      <c r="AC39" s="150">
        <v>0</v>
      </c>
      <c r="AD39" s="150">
        <v>42987.477703897501</v>
      </c>
      <c r="AE39" s="150">
        <v>0</v>
      </c>
      <c r="AF39" s="150">
        <f>AE39</f>
        <v>0</v>
      </c>
      <c r="AG39" s="150">
        <v>0</v>
      </c>
      <c r="AH39" s="150">
        <v>0</v>
      </c>
      <c r="AI39" s="150">
        <v>0</v>
      </c>
      <c r="AJ39" s="150">
        <v>0</v>
      </c>
      <c r="AK39" s="150"/>
      <c r="AL39" s="150">
        <v>0</v>
      </c>
      <c r="AM39" s="150">
        <v>0</v>
      </c>
      <c r="AN39" s="154" t="e">
        <f t="shared" si="2"/>
        <v>#DIV/0!</v>
      </c>
      <c r="AO39" s="29">
        <f t="shared" si="14"/>
        <v>0</v>
      </c>
      <c r="AP39" s="52"/>
    </row>
    <row r="40" spans="1:107" ht="27" customHeight="1" thickBot="1" x14ac:dyDescent="0.3">
      <c r="A40" s="204" t="s">
        <v>99</v>
      </c>
      <c r="B40" s="205" t="s">
        <v>100</v>
      </c>
      <c r="C40" s="142">
        <v>5344.7907112467065</v>
      </c>
      <c r="D40" s="142">
        <v>6228.6834898841353</v>
      </c>
      <c r="E40" s="147">
        <v>4435.2721242501775</v>
      </c>
      <c r="F40" s="142">
        <v>6945</v>
      </c>
      <c r="G40" s="142">
        <v>5548.2506276536251</v>
      </c>
      <c r="H40" s="142">
        <v>6683.2</v>
      </c>
      <c r="I40" s="142">
        <v>5797.9058164019825</v>
      </c>
      <c r="J40" s="142">
        <v>7744</v>
      </c>
      <c r="K40" s="142">
        <f>G40*$K$12</f>
        <v>4596.259243828873</v>
      </c>
      <c r="L40" s="142">
        <f>M40</f>
        <v>4626.4324100000003</v>
      </c>
      <c r="M40" s="206">
        <v>4626.4324100000003</v>
      </c>
      <c r="N40" s="181">
        <f>M40</f>
        <v>4626.4324100000003</v>
      </c>
      <c r="O40" s="142">
        <v>5755.6298891458482</v>
      </c>
      <c r="P40" s="142">
        <v>6264.88</v>
      </c>
      <c r="Q40" s="142">
        <v>6138.3299619710378</v>
      </c>
      <c r="R40" s="142">
        <v>5158.3</v>
      </c>
      <c r="S40" s="142">
        <f>R40</f>
        <v>5158.3</v>
      </c>
      <c r="T40" s="142">
        <v>8634</v>
      </c>
      <c r="U40" s="142">
        <f>K40*$U$12</f>
        <v>4769.5922525129772</v>
      </c>
      <c r="V40" s="142">
        <v>9627</v>
      </c>
      <c r="W40" s="142">
        <f>U40*$W$12</f>
        <v>4947.1509775489912</v>
      </c>
      <c r="X40" s="142">
        <v>5893.2</v>
      </c>
      <c r="Y40" s="142">
        <v>0</v>
      </c>
      <c r="Z40" s="181">
        <v>0</v>
      </c>
      <c r="AA40" s="181">
        <f>Z40</f>
        <v>0</v>
      </c>
      <c r="AB40" s="181">
        <v>140.85599999999999</v>
      </c>
      <c r="AC40" s="150">
        <f>'[1]оплата услуг 2019'!G24/1000</f>
        <v>44.858542510896768</v>
      </c>
      <c r="AD40" s="181">
        <v>5994.5060180181108</v>
      </c>
      <c r="AE40" s="181">
        <v>0</v>
      </c>
      <c r="AF40" s="181">
        <f>AE40</f>
        <v>0</v>
      </c>
      <c r="AG40" s="150">
        <v>259.10000000000002</v>
      </c>
      <c r="AH40" s="182">
        <f>'[1]сч.20.1 2020'!E18/1000</f>
        <v>116.09226</v>
      </c>
      <c r="AI40" s="181">
        <v>140.9</v>
      </c>
      <c r="AJ40" s="150" t="e">
        <f>#REF!/1000</f>
        <v>#REF!</v>
      </c>
      <c r="AK40" s="181"/>
      <c r="AL40" s="150">
        <v>275</v>
      </c>
      <c r="AM40" s="182">
        <v>73.005737905662002</v>
      </c>
      <c r="AN40" s="154" t="e">
        <f t="shared" si="2"/>
        <v>#REF!</v>
      </c>
      <c r="AO40" s="29">
        <f t="shared" si="14"/>
        <v>0</v>
      </c>
      <c r="AP40" s="52"/>
    </row>
    <row r="41" spans="1:107" ht="25.5" customHeight="1" thickBot="1" x14ac:dyDescent="0.3">
      <c r="A41" s="204" t="s">
        <v>101</v>
      </c>
      <c r="B41" s="205" t="s">
        <v>102</v>
      </c>
      <c r="C41" s="142">
        <v>1464.9480594864413</v>
      </c>
      <c r="D41" s="142">
        <v>2714</v>
      </c>
      <c r="E41" s="147">
        <v>1849.9847793922199</v>
      </c>
      <c r="F41" s="142">
        <v>2821</v>
      </c>
      <c r="G41" s="142">
        <v>1520.7141737884294</v>
      </c>
      <c r="H41" s="142">
        <v>1771.8</v>
      </c>
      <c r="I41" s="142">
        <v>1771.8349811999997</v>
      </c>
      <c r="J41" s="142">
        <v>2932</v>
      </c>
      <c r="K41" s="142">
        <f>G41*$K$12</f>
        <v>1259.783857574686</v>
      </c>
      <c r="L41" s="142">
        <v>1930.9</v>
      </c>
      <c r="M41" s="182">
        <f>325.09045+266.20676+699.15034+245.30509</f>
        <v>1535.7526399999999</v>
      </c>
      <c r="N41" s="181">
        <f>M41</f>
        <v>1535.7526399999999</v>
      </c>
      <c r="O41" s="142">
        <v>1577.5545372588824</v>
      </c>
      <c r="P41" s="142">
        <v>2030.4</v>
      </c>
      <c r="Q41" s="142">
        <v>1873.6411269335749</v>
      </c>
      <c r="R41" s="142">
        <v>1712.4</v>
      </c>
      <c r="S41" s="142">
        <f>R41</f>
        <v>1712.4</v>
      </c>
      <c r="T41" s="142">
        <v>3047</v>
      </c>
      <c r="U41" s="142">
        <f>K41*$U$12</f>
        <v>1307.292519454076</v>
      </c>
      <c r="V41" s="142">
        <v>3166</v>
      </c>
      <c r="W41" s="142">
        <f>U41*$W$12</f>
        <v>1355.959403479872</v>
      </c>
      <c r="X41" s="142">
        <v>2709.4431888764798</v>
      </c>
      <c r="Y41" s="142">
        <v>0</v>
      </c>
      <c r="Z41" s="181">
        <v>0</v>
      </c>
      <c r="AA41" s="181">
        <f>Z41</f>
        <v>0</v>
      </c>
      <c r="AB41" s="181">
        <v>0</v>
      </c>
      <c r="AC41" s="181">
        <v>0</v>
      </c>
      <c r="AD41" s="181">
        <f>'[2]КУ 2018'!H10</f>
        <v>2526.0172925771867</v>
      </c>
      <c r="AE41" s="181">
        <v>0</v>
      </c>
      <c r="AF41" s="181">
        <f>AE41</f>
        <v>0</v>
      </c>
      <c r="AG41" s="181">
        <v>0</v>
      </c>
      <c r="AH41" s="181">
        <v>0</v>
      </c>
      <c r="AI41" s="181">
        <v>0</v>
      </c>
      <c r="AJ41" s="150">
        <v>0</v>
      </c>
      <c r="AK41" s="181"/>
      <c r="AL41" s="150">
        <v>0</v>
      </c>
      <c r="AM41" s="150">
        <v>0</v>
      </c>
      <c r="AN41" s="154" t="e">
        <f t="shared" si="2"/>
        <v>#DIV/0!</v>
      </c>
      <c r="AO41" s="29">
        <f t="shared" si="14"/>
        <v>0</v>
      </c>
      <c r="AP41" s="53"/>
    </row>
    <row r="42" spans="1:107" ht="15" hidden="1" customHeight="1" x14ac:dyDescent="0.25">
      <c r="A42" s="54" t="s">
        <v>103</v>
      </c>
      <c r="B42" s="55" t="s">
        <v>104</v>
      </c>
      <c r="C42" s="56"/>
      <c r="D42" s="57"/>
      <c r="E42" s="28"/>
      <c r="F42" s="58"/>
      <c r="G42" s="57"/>
      <c r="H42" s="57"/>
      <c r="I42" s="57"/>
      <c r="J42" s="59"/>
      <c r="K42" s="60"/>
      <c r="L42" s="60"/>
      <c r="M42" s="60"/>
      <c r="N42" s="61"/>
      <c r="O42" s="58"/>
      <c r="P42" s="60"/>
      <c r="Q42" s="31"/>
      <c r="R42" s="31"/>
      <c r="S42" s="31"/>
      <c r="T42" s="56"/>
      <c r="U42" s="57"/>
      <c r="V42" s="57"/>
      <c r="W42" s="60"/>
      <c r="X42" s="57"/>
      <c r="Y42" s="60"/>
      <c r="Z42" s="60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32"/>
      <c r="AM42" s="46"/>
      <c r="AN42" s="25" t="e">
        <f t="shared" si="2"/>
        <v>#DIV/0!</v>
      </c>
      <c r="AO42" s="29"/>
      <c r="AP42" s="45"/>
    </row>
    <row r="43" spans="1:107" ht="15.75" hidden="1" customHeight="1" x14ac:dyDescent="0.25">
      <c r="A43" s="63" t="s">
        <v>105</v>
      </c>
      <c r="B43" s="64" t="s">
        <v>106</v>
      </c>
      <c r="C43" s="65"/>
      <c r="D43"/>
      <c r="E43" s="28">
        <v>124027.7</v>
      </c>
      <c r="F43" s="66"/>
      <c r="G43" s="67"/>
      <c r="H43" s="67"/>
      <c r="I43" s="67"/>
      <c r="J43" s="68"/>
      <c r="K43" s="69"/>
      <c r="L43" s="70"/>
      <c r="M43" s="71"/>
      <c r="N43" s="72"/>
      <c r="O43" s="73"/>
      <c r="P43" s="60"/>
      <c r="Q43" s="74"/>
      <c r="R43" s="74"/>
      <c r="S43" s="74"/>
      <c r="T43" s="75"/>
      <c r="U43" s="76"/>
      <c r="V43" s="76"/>
      <c r="W43" s="69"/>
      <c r="X43" s="76"/>
      <c r="Y43" s="69"/>
      <c r="Z43" s="69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207"/>
      <c r="AM43" s="77"/>
      <c r="AN43" s="25" t="e">
        <f t="shared" si="2"/>
        <v>#DIV/0!</v>
      </c>
      <c r="AO43" s="29"/>
      <c r="AP43" s="78"/>
    </row>
    <row r="44" spans="1:107" s="22" customFormat="1" ht="29.25" hidden="1" thickBot="1" x14ac:dyDescent="0.3">
      <c r="A44" s="79">
        <v>3</v>
      </c>
      <c r="B44" s="80" t="s">
        <v>107</v>
      </c>
      <c r="C44" s="81">
        <v>-56979.030711253203</v>
      </c>
      <c r="D44" s="82">
        <v>1407470</v>
      </c>
      <c r="E44" s="83">
        <v>0</v>
      </c>
      <c r="F44" s="84">
        <v>566513</v>
      </c>
      <c r="G44" s="85">
        <v>0</v>
      </c>
      <c r="H44" s="85">
        <v>1119912.3227687292</v>
      </c>
      <c r="I44" s="82">
        <v>328182.34981836635</v>
      </c>
      <c r="J44" s="86">
        <f>SUM(J45:J62)</f>
        <v>0</v>
      </c>
      <c r="K44" s="87">
        <f>SUM(K45:K62)</f>
        <v>0</v>
      </c>
      <c r="L44" s="88"/>
      <c r="M44" s="82"/>
      <c r="N44" s="83"/>
      <c r="O44" s="83"/>
      <c r="P44" s="88">
        <v>803978.9</v>
      </c>
      <c r="Q44" s="23">
        <v>0</v>
      </c>
      <c r="R44" s="23"/>
      <c r="S44" s="23"/>
      <c r="T44" s="89"/>
      <c r="U44" s="90"/>
      <c r="V44" s="90"/>
      <c r="W44" s="87"/>
      <c r="X44" s="82">
        <v>25147.3</v>
      </c>
      <c r="Y44" s="88"/>
      <c r="Z44" s="88">
        <v>0</v>
      </c>
      <c r="AA44" s="23">
        <v>0</v>
      </c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08"/>
      <c r="AM44" s="17"/>
      <c r="AN44" s="25" t="e">
        <f t="shared" si="2"/>
        <v>#DIV/0!</v>
      </c>
      <c r="AO44" s="91"/>
      <c r="AP44" s="92" t="s">
        <v>108</v>
      </c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</row>
    <row r="45" spans="1:107" s="105" customFormat="1" ht="45.75" hidden="1" thickBot="1" x14ac:dyDescent="0.3">
      <c r="A45" s="93"/>
      <c r="B45" s="94" t="s">
        <v>109</v>
      </c>
      <c r="C45"/>
      <c r="D45"/>
      <c r="E45"/>
      <c r="F45"/>
      <c r="G45"/>
      <c r="H45"/>
      <c r="I45" s="95"/>
      <c r="J45" s="96"/>
      <c r="K45" s="97"/>
      <c r="L45" s="98"/>
      <c r="M45"/>
      <c r="N45"/>
      <c r="O45" s="83"/>
      <c r="P45"/>
      <c r="Q45" s="99"/>
      <c r="R45" s="99"/>
      <c r="S45" s="99"/>
      <c r="T45" s="100"/>
      <c r="U45" s="101"/>
      <c r="V45" s="101"/>
      <c r="W45" s="97"/>
      <c r="X45" s="101"/>
      <c r="Y45" s="97"/>
      <c r="Z45" s="97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209"/>
      <c r="AM45" s="103"/>
      <c r="AN45" s="25" t="e">
        <f t="shared" si="2"/>
        <v>#DIV/0!</v>
      </c>
      <c r="AO45" s="96"/>
      <c r="AP45" s="104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</row>
    <row r="46" spans="1:107" s="105" customFormat="1" ht="30.75" hidden="1" thickBot="1" x14ac:dyDescent="0.3">
      <c r="A46" s="93"/>
      <c r="B46" s="94" t="s">
        <v>110</v>
      </c>
      <c r="C46" s="56">
        <v>0</v>
      </c>
      <c r="D46" s="57">
        <v>36045</v>
      </c>
      <c r="E46"/>
      <c r="F46" s="56"/>
      <c r="G46" s="57"/>
      <c r="H46" s="57">
        <v>46145.97</v>
      </c>
      <c r="I46" s="57">
        <v>0</v>
      </c>
      <c r="J46" s="106"/>
      <c r="K46" s="107"/>
      <c r="L46" s="61"/>
      <c r="M46" s="61"/>
      <c r="N46" s="108"/>
      <c r="O46" s="83"/>
      <c r="P46" s="60"/>
      <c r="Q46" s="62"/>
      <c r="R46" s="62"/>
      <c r="S46" s="62"/>
      <c r="T46" s="109"/>
      <c r="U46" s="101"/>
      <c r="V46" s="101"/>
      <c r="W46" s="97"/>
      <c r="X46" s="101"/>
      <c r="Y46" s="97"/>
      <c r="Z46" s="97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209"/>
      <c r="AM46" s="103"/>
      <c r="AN46" s="25" t="e">
        <f t="shared" si="2"/>
        <v>#DIV/0!</v>
      </c>
      <c r="AO46" s="96"/>
      <c r="AP46" s="104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</row>
    <row r="47" spans="1:107" s="105" customFormat="1" ht="45.75" hidden="1" thickBot="1" x14ac:dyDescent="0.3">
      <c r="A47" s="93"/>
      <c r="B47" s="94" t="s">
        <v>111</v>
      </c>
      <c r="C47" s="110">
        <v>202838.72690687599</v>
      </c>
      <c r="D47" s="57">
        <v>611462</v>
      </c>
      <c r="E47"/>
      <c r="F47" s="56"/>
      <c r="G47" s="57"/>
      <c r="H47" s="57">
        <v>426224</v>
      </c>
      <c r="I47" s="57">
        <v>0</v>
      </c>
      <c r="J47" s="106"/>
      <c r="K47" s="107"/>
      <c r="L47" s="61"/>
      <c r="M47" s="61"/>
      <c r="N47" s="108"/>
      <c r="O47" s="83"/>
      <c r="P47" s="60"/>
      <c r="Q47" s="62"/>
      <c r="R47" s="62"/>
      <c r="S47" s="62"/>
      <c r="T47" s="109"/>
      <c r="U47" s="101"/>
      <c r="V47" s="101"/>
      <c r="W47" s="97"/>
      <c r="X47" s="101"/>
      <c r="Y47" s="97"/>
      <c r="Z47" s="97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209"/>
      <c r="AM47" s="103"/>
      <c r="AN47" s="25" t="e">
        <f t="shared" si="2"/>
        <v>#DIV/0!</v>
      </c>
      <c r="AO47" s="96"/>
      <c r="AP47" s="104" t="s">
        <v>112</v>
      </c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</row>
    <row r="48" spans="1:107" s="105" customFormat="1" ht="45.75" hidden="1" thickBot="1" x14ac:dyDescent="0.3">
      <c r="A48" s="93"/>
      <c r="B48" s="94" t="s">
        <v>113</v>
      </c>
      <c r="C48" s="56"/>
      <c r="D48" s="57"/>
      <c r="E48"/>
      <c r="F48" s="56">
        <v>320504</v>
      </c>
      <c r="G48" s="57">
        <v>0</v>
      </c>
      <c r="H48" s="57">
        <v>128172.9</v>
      </c>
      <c r="I48" s="57">
        <v>128172.9</v>
      </c>
      <c r="J48" s="106"/>
      <c r="K48" s="107"/>
      <c r="L48" s="61"/>
      <c r="M48" s="61"/>
      <c r="N48" s="108"/>
      <c r="O48" s="83"/>
      <c r="P48" s="60"/>
      <c r="Q48" s="62"/>
      <c r="R48" s="62"/>
      <c r="S48" s="62"/>
      <c r="T48" s="109"/>
      <c r="U48" s="101"/>
      <c r="V48" s="101"/>
      <c r="W48" s="97"/>
      <c r="X48" s="101"/>
      <c r="Y48" s="97"/>
      <c r="Z48" s="97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209"/>
      <c r="AM48" s="103"/>
      <c r="AN48" s="25" t="e">
        <f t="shared" si="2"/>
        <v>#DIV/0!</v>
      </c>
      <c r="AO48" s="96"/>
      <c r="AP48" s="104" t="s">
        <v>114</v>
      </c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</row>
    <row r="49" spans="1:107" s="105" customFormat="1" ht="45.75" hidden="1" thickBot="1" x14ac:dyDescent="0.3">
      <c r="A49" s="93"/>
      <c r="B49" s="94" t="s">
        <v>115</v>
      </c>
      <c r="C49" s="56"/>
      <c r="D49" s="57"/>
      <c r="E49"/>
      <c r="F49" s="56"/>
      <c r="G49" s="57"/>
      <c r="H49" s="57"/>
      <c r="I49" s="57"/>
      <c r="J49" s="106"/>
      <c r="K49" s="107"/>
      <c r="L49" s="61"/>
      <c r="M49" s="61"/>
      <c r="N49" s="108"/>
      <c r="O49" s="83"/>
      <c r="P49" s="60"/>
      <c r="Q49" s="62"/>
      <c r="R49" s="62"/>
      <c r="S49" s="62"/>
      <c r="T49" s="109"/>
      <c r="U49" s="101"/>
      <c r="V49" s="101"/>
      <c r="W49" s="97"/>
      <c r="X49" s="101"/>
      <c r="Y49" s="97"/>
      <c r="Z49" s="97"/>
      <c r="AA49" s="102"/>
      <c r="AB49" s="102"/>
      <c r="AC49" s="102"/>
      <c r="AD49" s="102"/>
      <c r="AE49" s="102"/>
      <c r="AF49" s="102"/>
      <c r="AG49" s="102"/>
      <c r="AH49" s="102"/>
      <c r="AI49" s="102"/>
      <c r="AJ49" s="102"/>
      <c r="AK49" s="102"/>
      <c r="AL49" s="209"/>
      <c r="AM49" s="103"/>
      <c r="AN49" s="25" t="e">
        <f t="shared" si="2"/>
        <v>#DIV/0!</v>
      </c>
      <c r="AO49" s="96"/>
      <c r="AP49" s="104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</row>
    <row r="50" spans="1:107" s="105" customFormat="1" ht="45.75" hidden="1" thickBot="1" x14ac:dyDescent="0.3">
      <c r="A50" s="93"/>
      <c r="B50" s="94" t="s">
        <v>116</v>
      </c>
      <c r="C50" s="56"/>
      <c r="D50" s="57"/>
      <c r="E50"/>
      <c r="F50" s="56"/>
      <c r="G50" s="57"/>
      <c r="H50" s="57"/>
      <c r="I50" s="57"/>
      <c r="J50" s="106"/>
      <c r="K50" s="107"/>
      <c r="L50" s="61"/>
      <c r="M50" s="61"/>
      <c r="N50" s="108"/>
      <c r="O50" s="83"/>
      <c r="P50" s="60"/>
      <c r="Q50" s="62"/>
      <c r="R50" s="62"/>
      <c r="S50" s="62"/>
      <c r="T50" s="109"/>
      <c r="U50" s="101"/>
      <c r="V50" s="101"/>
      <c r="W50" s="97"/>
      <c r="X50" s="101"/>
      <c r="Y50" s="97"/>
      <c r="Z50" s="97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209"/>
      <c r="AM50" s="103"/>
      <c r="AN50" s="25" t="e">
        <f t="shared" si="2"/>
        <v>#DIV/0!</v>
      </c>
      <c r="AO50" s="96"/>
      <c r="AP50" s="104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</row>
    <row r="51" spans="1:107" s="105" customFormat="1" ht="30.75" hidden="1" thickBot="1" x14ac:dyDescent="0.3">
      <c r="A51" s="93"/>
      <c r="B51" s="94" t="s">
        <v>117</v>
      </c>
      <c r="C51" s="56">
        <v>0</v>
      </c>
      <c r="D51" s="57">
        <v>12647</v>
      </c>
      <c r="E51"/>
      <c r="F51" s="56"/>
      <c r="G51" s="57"/>
      <c r="H51" s="57"/>
      <c r="I51" s="57"/>
      <c r="J51" s="106"/>
      <c r="K51" s="107"/>
      <c r="L51" s="61"/>
      <c r="M51" s="61"/>
      <c r="N51" s="108"/>
      <c r="O51" s="83"/>
      <c r="P51" s="60"/>
      <c r="Q51" s="62"/>
      <c r="R51" s="62"/>
      <c r="S51" s="62"/>
      <c r="T51" s="109"/>
      <c r="U51" s="101"/>
      <c r="V51" s="101"/>
      <c r="W51" s="97"/>
      <c r="X51" s="101"/>
      <c r="Y51" s="97"/>
      <c r="Z51" s="97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209"/>
      <c r="AM51" s="103"/>
      <c r="AN51" s="25" t="e">
        <f t="shared" si="2"/>
        <v>#DIV/0!</v>
      </c>
      <c r="AO51" s="96"/>
      <c r="AP51" s="104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</row>
    <row r="52" spans="1:107" s="105" customFormat="1" ht="30.75" hidden="1" thickBot="1" x14ac:dyDescent="0.3">
      <c r="A52" s="93"/>
      <c r="B52" s="94" t="s">
        <v>118</v>
      </c>
      <c r="C52" s="56"/>
      <c r="D52" s="57"/>
      <c r="E52"/>
      <c r="F52" s="56"/>
      <c r="G52" s="57"/>
      <c r="H52" s="57"/>
      <c r="I52" s="57"/>
      <c r="J52" s="106"/>
      <c r="K52" s="107"/>
      <c r="L52" s="61"/>
      <c r="M52" s="61"/>
      <c r="N52" s="108"/>
      <c r="O52" s="83"/>
      <c r="P52" s="60"/>
      <c r="Q52" s="62"/>
      <c r="R52" s="62"/>
      <c r="S52" s="62"/>
      <c r="T52" s="109"/>
      <c r="U52" s="101"/>
      <c r="V52" s="101"/>
      <c r="W52" s="97"/>
      <c r="X52" s="101"/>
      <c r="Y52" s="97"/>
      <c r="Z52" s="97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209"/>
      <c r="AM52" s="103"/>
      <c r="AN52" s="25" t="e">
        <f t="shared" si="2"/>
        <v>#DIV/0!</v>
      </c>
      <c r="AO52" s="96"/>
      <c r="AP52" s="104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</row>
    <row r="53" spans="1:107" s="105" customFormat="1" ht="30.75" hidden="1" thickBot="1" x14ac:dyDescent="0.3">
      <c r="A53" s="93"/>
      <c r="B53" s="94" t="s">
        <v>119</v>
      </c>
      <c r="C53" s="56"/>
      <c r="D53" s="57"/>
      <c r="E53"/>
      <c r="F53" s="56"/>
      <c r="G53" s="57"/>
      <c r="H53" s="57"/>
      <c r="I53" s="57"/>
      <c r="J53" s="106"/>
      <c r="K53" s="107"/>
      <c r="L53" s="61"/>
      <c r="M53" s="61"/>
      <c r="N53" s="108"/>
      <c r="O53" s="83"/>
      <c r="P53" s="60"/>
      <c r="Q53" s="62"/>
      <c r="R53" s="62"/>
      <c r="S53" s="62"/>
      <c r="T53" s="109"/>
      <c r="U53" s="101"/>
      <c r="V53" s="101"/>
      <c r="W53" s="97"/>
      <c r="X53" s="101"/>
      <c r="Y53" s="97"/>
      <c r="Z53" s="97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209"/>
      <c r="AM53" s="103"/>
      <c r="AN53" s="25" t="e">
        <f t="shared" si="2"/>
        <v>#DIV/0!</v>
      </c>
      <c r="AO53" s="96"/>
      <c r="AP53" s="104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</row>
    <row r="54" spans="1:107" s="105" customFormat="1" ht="15.75" hidden="1" thickBot="1" x14ac:dyDescent="0.3">
      <c r="A54" s="93"/>
      <c r="B54" s="94" t="s">
        <v>120</v>
      </c>
      <c r="C54" s="56"/>
      <c r="D54" s="57"/>
      <c r="E54"/>
      <c r="F54" s="56"/>
      <c r="G54" s="57"/>
      <c r="H54" s="57"/>
      <c r="I54" s="57"/>
      <c r="J54" s="106"/>
      <c r="K54" s="107"/>
      <c r="L54" s="61"/>
      <c r="M54" s="61"/>
      <c r="N54" s="108"/>
      <c r="O54" s="83"/>
      <c r="P54" s="60"/>
      <c r="Q54" s="62"/>
      <c r="R54" s="62"/>
      <c r="S54" s="62"/>
      <c r="T54" s="109"/>
      <c r="U54" s="101"/>
      <c r="V54" s="101"/>
      <c r="W54" s="97"/>
      <c r="X54" s="101"/>
      <c r="Y54" s="97"/>
      <c r="Z54" s="97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209"/>
      <c r="AM54" s="103"/>
      <c r="AN54" s="25" t="e">
        <f t="shared" si="2"/>
        <v>#DIV/0!</v>
      </c>
      <c r="AO54" s="96"/>
      <c r="AP54" s="10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</row>
    <row r="55" spans="1:107" s="105" customFormat="1" ht="30.75" hidden="1" thickBot="1" x14ac:dyDescent="0.3">
      <c r="A55" s="93"/>
      <c r="B55" s="94" t="s">
        <v>121</v>
      </c>
      <c r="C55">
        <v>0</v>
      </c>
      <c r="D55" s="57">
        <v>24236</v>
      </c>
      <c r="E55"/>
      <c r="F55" s="56"/>
      <c r="G55" s="57"/>
      <c r="H55" s="57"/>
      <c r="I55" s="57"/>
      <c r="J55" s="106"/>
      <c r="K55" s="107"/>
      <c r="L55" s="61"/>
      <c r="M55" s="61"/>
      <c r="N55" s="108"/>
      <c r="O55" s="83"/>
      <c r="P55" s="60"/>
      <c r="Q55" s="62"/>
      <c r="R55" s="62"/>
      <c r="S55" s="62"/>
      <c r="T55" s="109"/>
      <c r="U55" s="101"/>
      <c r="V55" s="101"/>
      <c r="W55" s="97"/>
      <c r="X55" s="101"/>
      <c r="Y55" s="97"/>
      <c r="Z55" s="97"/>
      <c r="AA55" s="102"/>
      <c r="AB55" s="102"/>
      <c r="AC55" s="102"/>
      <c r="AD55" s="102"/>
      <c r="AE55" s="102"/>
      <c r="AF55" s="102"/>
      <c r="AG55" s="102"/>
      <c r="AH55" s="102"/>
      <c r="AI55" s="102"/>
      <c r="AJ55" s="102"/>
      <c r="AK55" s="102"/>
      <c r="AL55" s="209"/>
      <c r="AM55" s="103"/>
      <c r="AN55" s="25" t="e">
        <f t="shared" si="2"/>
        <v>#DIV/0!</v>
      </c>
      <c r="AO55" s="96"/>
      <c r="AP55" s="104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</row>
    <row r="56" spans="1:107" s="105" customFormat="1" ht="15.75" hidden="1" thickBot="1" x14ac:dyDescent="0.3">
      <c r="A56" s="93"/>
      <c r="B56" s="94" t="s">
        <v>122</v>
      </c>
      <c r="C56" s="56"/>
      <c r="D56" s="57"/>
      <c r="E56"/>
      <c r="F56" s="56"/>
      <c r="G56" s="57"/>
      <c r="H56" s="57"/>
      <c r="I56" s="57"/>
      <c r="J56" s="111"/>
      <c r="K56" s="112"/>
      <c r="L56" s="61"/>
      <c r="M56" s="61"/>
      <c r="N56" s="108"/>
      <c r="O56" s="83"/>
      <c r="P56" s="60"/>
      <c r="Q56" s="62"/>
      <c r="R56" s="62"/>
      <c r="S56" s="62"/>
      <c r="T56" s="109"/>
      <c r="U56" s="101"/>
      <c r="V56" s="101"/>
      <c r="W56" s="97"/>
      <c r="X56" s="101"/>
      <c r="Y56" s="97"/>
      <c r="Z56" s="97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209"/>
      <c r="AM56" s="103"/>
      <c r="AN56" s="25" t="e">
        <f t="shared" si="2"/>
        <v>#DIV/0!</v>
      </c>
      <c r="AO56" s="96"/>
      <c r="AP56" s="104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</row>
    <row r="57" spans="1:107" s="105" customFormat="1" ht="30.75" hidden="1" thickBot="1" x14ac:dyDescent="0.3">
      <c r="A57" s="93"/>
      <c r="B57" s="94" t="s">
        <v>123</v>
      </c>
      <c r="C57" s="56"/>
      <c r="D57" s="57">
        <v>430272</v>
      </c>
      <c r="E57"/>
      <c r="F57" s="56"/>
      <c r="G57" s="57"/>
      <c r="H57" s="57"/>
      <c r="I57" s="57"/>
      <c r="J57" s="111"/>
      <c r="K57" s="112"/>
      <c r="L57" s="61"/>
      <c r="M57" s="61"/>
      <c r="N57" s="108"/>
      <c r="O57" s="83"/>
      <c r="P57" s="60"/>
      <c r="Q57" s="62"/>
      <c r="R57" s="62"/>
      <c r="S57" s="62"/>
      <c r="T57" s="109"/>
      <c r="U57" s="57"/>
      <c r="V57" s="57"/>
      <c r="W57" s="60"/>
      <c r="X57" s="57"/>
      <c r="Y57" s="60"/>
      <c r="Z57" s="60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32"/>
      <c r="AM57" s="46"/>
      <c r="AN57" s="25" t="e">
        <f t="shared" si="2"/>
        <v>#DIV/0!</v>
      </c>
      <c r="AO57" s="59"/>
      <c r="AP57" s="104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</row>
    <row r="58" spans="1:107" s="105" customFormat="1" ht="30.75" hidden="1" thickBot="1" x14ac:dyDescent="0.3">
      <c r="A58" s="93"/>
      <c r="B58" s="94" t="s">
        <v>124</v>
      </c>
      <c r="C58" s="56">
        <v>168356.14349835785</v>
      </c>
      <c r="D58" s="57"/>
      <c r="E58"/>
      <c r="F58" s="56">
        <v>246009</v>
      </c>
      <c r="G58" s="57">
        <v>0</v>
      </c>
      <c r="H58" s="57"/>
      <c r="I58" s="57"/>
      <c r="J58" s="109"/>
      <c r="K58" s="107"/>
      <c r="L58" s="61"/>
      <c r="M58" s="61"/>
      <c r="N58" s="108"/>
      <c r="O58" s="83"/>
      <c r="P58" s="60"/>
      <c r="Q58" s="62"/>
      <c r="R58" s="62"/>
      <c r="S58" s="62"/>
      <c r="T58" s="109"/>
      <c r="U58" s="57"/>
      <c r="V58" s="57"/>
      <c r="W58" s="60"/>
      <c r="X58" s="57"/>
      <c r="Y58" s="60"/>
      <c r="Z58" s="60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32"/>
      <c r="AM58" s="46"/>
      <c r="AN58" s="25" t="e">
        <f t="shared" si="2"/>
        <v>#DIV/0!</v>
      </c>
      <c r="AO58" s="59"/>
      <c r="AP58" s="104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</row>
    <row r="59" spans="1:107" s="105" customFormat="1" ht="15.75" hidden="1" thickBot="1" x14ac:dyDescent="0.3">
      <c r="A59" s="93"/>
      <c r="B59" s="94" t="s">
        <v>125</v>
      </c>
      <c r="C59" s="56"/>
      <c r="D59" s="57"/>
      <c r="E59"/>
      <c r="F59" s="56"/>
      <c r="G59" s="57"/>
      <c r="H59" s="57">
        <v>30658.542768729301</v>
      </c>
      <c r="I59" s="57">
        <v>0</v>
      </c>
      <c r="J59" s="109"/>
      <c r="K59" s="107"/>
      <c r="L59" s="61"/>
      <c r="M59" s="61"/>
      <c r="N59" s="108"/>
      <c r="O59" s="83"/>
      <c r="P59" s="60"/>
      <c r="Q59" s="62"/>
      <c r="R59" s="62"/>
      <c r="S59" s="62"/>
      <c r="T59" s="109"/>
      <c r="U59" s="57"/>
      <c r="V59" s="57"/>
      <c r="W59" s="60"/>
      <c r="X59" s="57"/>
      <c r="Y59" s="60"/>
      <c r="Z59" s="60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32"/>
      <c r="AM59" s="46"/>
      <c r="AN59" s="25" t="e">
        <f t="shared" si="2"/>
        <v>#DIV/0!</v>
      </c>
      <c r="AO59" s="59"/>
      <c r="AP59" s="104" t="s">
        <v>126</v>
      </c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</row>
    <row r="60" spans="1:107" s="105" customFormat="1" ht="30.75" hidden="1" thickBot="1" x14ac:dyDescent="0.3">
      <c r="A60" s="93"/>
      <c r="B60" s="94" t="s">
        <v>127</v>
      </c>
      <c r="C60" s="56"/>
      <c r="D60" s="57">
        <v>292808</v>
      </c>
      <c r="E60"/>
      <c r="F60" s="56"/>
      <c r="G60" s="57"/>
      <c r="H60" s="57">
        <v>206449.91</v>
      </c>
      <c r="I60" s="57">
        <v>0</v>
      </c>
      <c r="J60" s="109"/>
      <c r="K60" s="107"/>
      <c r="L60" s="61"/>
      <c r="M60" s="61"/>
      <c r="N60" s="108"/>
      <c r="O60" s="83"/>
      <c r="P60" s="60"/>
      <c r="Q60" s="62"/>
      <c r="R60" s="62"/>
      <c r="S60" s="62"/>
      <c r="T60" s="109"/>
      <c r="U60" s="57"/>
      <c r="V60" s="57"/>
      <c r="W60" s="60"/>
      <c r="X60" s="57"/>
      <c r="Y60" s="60"/>
      <c r="Z60" s="60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32"/>
      <c r="AM60" s="46"/>
      <c r="AN60" s="25" t="e">
        <f t="shared" si="2"/>
        <v>#DIV/0!</v>
      </c>
      <c r="AO60" s="59"/>
      <c r="AP60" s="104" t="s">
        <v>128</v>
      </c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</row>
    <row r="61" spans="1:107" s="105" customFormat="1" ht="30.75" hidden="1" thickBot="1" x14ac:dyDescent="0.3">
      <c r="A61" s="93"/>
      <c r="B61" s="94" t="s">
        <v>129</v>
      </c>
      <c r="C61" s="56"/>
      <c r="D61" s="57"/>
      <c r="E61"/>
      <c r="F61" s="56"/>
      <c r="G61" s="57"/>
      <c r="H61" s="57"/>
      <c r="I61" s="57"/>
      <c r="J61" s="109"/>
      <c r="K61" s="107"/>
      <c r="L61" s="61"/>
      <c r="M61" s="61"/>
      <c r="N61" s="108"/>
      <c r="O61" s="83"/>
      <c r="P61" s="60"/>
      <c r="Q61" s="62"/>
      <c r="R61" s="62"/>
      <c r="S61" s="62"/>
      <c r="T61" s="109"/>
      <c r="U61" s="57"/>
      <c r="V61" s="57"/>
      <c r="W61" s="60"/>
      <c r="X61" s="57"/>
      <c r="Y61" s="60"/>
      <c r="Z61" s="60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32"/>
      <c r="AM61" s="46"/>
      <c r="AN61" s="25" t="e">
        <f t="shared" si="2"/>
        <v>#DIV/0!</v>
      </c>
      <c r="AO61" s="59"/>
      <c r="AP61" s="104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</row>
    <row r="62" spans="1:107" s="105" customFormat="1" ht="15.75" hidden="1" thickBot="1" x14ac:dyDescent="0.3">
      <c r="A62" s="113"/>
      <c r="B62" s="114" t="s">
        <v>130</v>
      </c>
      <c r="C62"/>
      <c r="D62"/>
      <c r="E62"/>
      <c r="F62"/>
      <c r="G62"/>
      <c r="H62">
        <v>282261</v>
      </c>
      <c r="I62" s="95">
        <v>200009.44981836638</v>
      </c>
      <c r="J62" s="115"/>
      <c r="K62" s="112"/>
      <c r="L62" s="98"/>
      <c r="M62"/>
      <c r="N62"/>
      <c r="O62" s="116"/>
      <c r="P62"/>
      <c r="Q62" s="99"/>
      <c r="R62" s="99"/>
      <c r="S62" s="99"/>
      <c r="T62" s="115"/>
      <c r="U62" s="117"/>
      <c r="V62" s="117"/>
      <c r="W62" s="118"/>
      <c r="X62" s="117"/>
      <c r="Y62" s="118"/>
      <c r="Z62" s="118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210"/>
      <c r="AM62" s="120"/>
      <c r="AN62" s="25" t="e">
        <f t="shared" si="2"/>
        <v>#DIV/0!</v>
      </c>
      <c r="AO62" s="59"/>
      <c r="AP62" s="104" t="s">
        <v>114</v>
      </c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</row>
    <row r="63" spans="1:107" s="105" customFormat="1" ht="15.75" thickBot="1" x14ac:dyDescent="0.3">
      <c r="A63" s="121" t="s">
        <v>131</v>
      </c>
      <c r="B63" s="122" t="s">
        <v>132</v>
      </c>
      <c r="C63" s="123"/>
      <c r="D63" s="123"/>
      <c r="E63" s="123"/>
      <c r="F63" s="123"/>
      <c r="G63" s="123"/>
      <c r="H63" s="123"/>
      <c r="I63" s="124"/>
      <c r="J63" s="125"/>
      <c r="K63" s="126"/>
      <c r="L63" s="127"/>
      <c r="M63" s="123"/>
      <c r="N63" s="123"/>
      <c r="O63" s="83"/>
      <c r="P63" s="123"/>
      <c r="Q63" s="128"/>
      <c r="R63" s="128"/>
      <c r="S63" s="128"/>
      <c r="T63" s="126"/>
      <c r="U63" s="129"/>
      <c r="V63" s="129"/>
      <c r="W63" s="129"/>
      <c r="X63" s="130"/>
      <c r="Y63" s="131">
        <v>0</v>
      </c>
      <c r="Z63" s="131">
        <v>0</v>
      </c>
      <c r="AA63" s="132"/>
      <c r="AB63" s="132">
        <v>0</v>
      </c>
      <c r="AC63" s="132">
        <v>0</v>
      </c>
      <c r="AD63" s="129"/>
      <c r="AE63" s="132">
        <v>0</v>
      </c>
      <c r="AF63" s="132"/>
      <c r="AG63" s="132">
        <v>218.3</v>
      </c>
      <c r="AH63" s="17">
        <f>'[1]безнад списан. сч.91,2'!E14/1000</f>
        <v>218.25647000000001</v>
      </c>
      <c r="AI63" s="132">
        <v>347.5</v>
      </c>
      <c r="AJ63" s="132">
        <v>0</v>
      </c>
      <c r="AK63" s="132"/>
      <c r="AL63" s="208">
        <v>0</v>
      </c>
      <c r="AM63" s="133">
        <v>0</v>
      </c>
      <c r="AN63" s="25" t="e">
        <f t="shared" si="2"/>
        <v>#DIV/0!</v>
      </c>
      <c r="AO63" s="134"/>
      <c r="AP63" s="104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</row>
    <row r="64" spans="1:107" s="22" customFormat="1" ht="42.75" customHeigh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L64" s="135"/>
      <c r="AM64" s="135"/>
      <c r="AN64" s="135"/>
      <c r="AO64" s="135"/>
      <c r="AP64" s="135"/>
      <c r="AQ64" s="135"/>
      <c r="AR64" s="135"/>
      <c r="AS64" s="135"/>
      <c r="AT64" s="135"/>
      <c r="AU64" s="135"/>
      <c r="AV64" s="135"/>
      <c r="AW64" s="135"/>
      <c r="AX64" s="135"/>
      <c r="AY64" s="135"/>
      <c r="AZ64" s="135"/>
      <c r="BA64" s="135"/>
      <c r="BB64" s="135"/>
      <c r="BC64" s="135"/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</row>
    <row r="65" spans="1:107" s="22" customFormat="1" ht="39.75" customHeigh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L65" s="135"/>
      <c r="AM65" s="135"/>
      <c r="AN65" s="135"/>
      <c r="AO65" s="135"/>
      <c r="AP65" s="135"/>
      <c r="AQ65" s="135"/>
      <c r="AR65" s="135"/>
      <c r="AS65" s="135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5"/>
      <c r="BT65" s="135"/>
      <c r="BU65" s="135"/>
      <c r="BV65" s="135"/>
      <c r="BW65" s="135"/>
      <c r="BX65" s="135"/>
      <c r="BY65" s="135"/>
      <c r="BZ65" s="135"/>
      <c r="CA65" s="135"/>
      <c r="CB65" s="135"/>
      <c r="CC65" s="135"/>
      <c r="CD65" s="135"/>
    </row>
    <row r="66" spans="1:107" s="22" customFormat="1" ht="30.75" customHeigh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L66" s="135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135"/>
      <c r="BJ66" s="135"/>
      <c r="BK66" s="135"/>
      <c r="BL66" s="135"/>
      <c r="BM66" s="135"/>
      <c r="BN66" s="135"/>
      <c r="BO66" s="135"/>
      <c r="BP66" s="135"/>
      <c r="BQ66" s="135"/>
      <c r="BR66" s="135"/>
      <c r="BS66" s="135"/>
      <c r="BT66" s="135"/>
      <c r="BU66" s="135"/>
      <c r="BV66" s="135"/>
      <c r="BW66" s="135"/>
      <c r="BX66" s="135"/>
      <c r="BY66" s="135"/>
      <c r="BZ66" s="135"/>
      <c r="CA66" s="135"/>
      <c r="CB66" s="135"/>
      <c r="CC66" s="135"/>
      <c r="CD66" s="135"/>
    </row>
    <row r="67" spans="1:107" s="22" customFormat="1" ht="37.5" customHeigh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L67" s="135"/>
      <c r="AM67" s="135"/>
      <c r="AN67" s="135"/>
      <c r="AO67" s="135"/>
      <c r="AP67" s="135"/>
      <c r="AQ67" s="135"/>
      <c r="AR67" s="135"/>
      <c r="AS67" s="135"/>
      <c r="AT67" s="135"/>
      <c r="AU67" s="135"/>
      <c r="AV67" s="135"/>
      <c r="AW67" s="135"/>
      <c r="AX67" s="135"/>
      <c r="AY67" s="135"/>
      <c r="AZ67" s="135"/>
      <c r="BA67" s="135"/>
      <c r="BB67" s="135"/>
      <c r="BC67" s="135"/>
      <c r="BD67" s="135"/>
      <c r="BE67" s="135"/>
      <c r="BF67" s="135"/>
      <c r="BG67" s="135"/>
      <c r="BH67" s="135"/>
      <c r="BI67" s="135"/>
      <c r="BJ67" s="135"/>
      <c r="BK67" s="135"/>
      <c r="BL67" s="135"/>
      <c r="BM67" s="135"/>
      <c r="BN67" s="135"/>
      <c r="BO67" s="135"/>
      <c r="BP67" s="135"/>
      <c r="BQ67" s="135"/>
      <c r="BR67" s="135"/>
      <c r="BS67" s="135"/>
      <c r="BT67" s="135"/>
      <c r="BU67" s="135"/>
      <c r="BV67" s="135"/>
      <c r="BW67" s="135"/>
      <c r="BX67" s="135"/>
      <c r="BY67" s="135"/>
      <c r="BZ67" s="135"/>
      <c r="CA67" s="135"/>
      <c r="CB67" s="135"/>
      <c r="CC67" s="135"/>
      <c r="CD67" s="135"/>
    </row>
    <row r="68" spans="1:107" s="22" customFormat="1" ht="39" customHeigh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L68" s="135"/>
      <c r="AM68" s="135"/>
      <c r="AN68" s="135"/>
      <c r="AO68" s="135"/>
      <c r="AP68" s="135"/>
      <c r="AQ68" s="135"/>
      <c r="AR68" s="135"/>
      <c r="AS68" s="135"/>
      <c r="AT68" s="135"/>
      <c r="AU68" s="135"/>
      <c r="AV68" s="135"/>
      <c r="AW68" s="135"/>
      <c r="AX68" s="135"/>
      <c r="AY68" s="135"/>
      <c r="AZ68" s="135"/>
      <c r="BA68" s="135"/>
      <c r="BB68" s="135"/>
      <c r="BC68" s="135"/>
      <c r="BD68" s="135"/>
      <c r="BE68" s="135"/>
      <c r="BF68" s="135"/>
      <c r="BG68" s="135"/>
      <c r="BH68" s="135"/>
      <c r="BI68" s="135"/>
      <c r="BJ68" s="135"/>
      <c r="BK68" s="135"/>
      <c r="BL68" s="135"/>
      <c r="BM68" s="135"/>
      <c r="BN68" s="135"/>
      <c r="BO68" s="135"/>
      <c r="BP68" s="135"/>
      <c r="BQ68" s="135"/>
      <c r="BR68" s="135"/>
      <c r="BS68" s="135"/>
      <c r="BT68" s="135"/>
      <c r="BU68" s="135"/>
      <c r="BV68" s="135"/>
      <c r="BW68" s="135"/>
      <c r="BX68" s="135"/>
      <c r="BY68" s="135"/>
      <c r="BZ68" s="135"/>
      <c r="CA68" s="135"/>
      <c r="CB68" s="135"/>
      <c r="CC68" s="135"/>
      <c r="CD68" s="135"/>
    </row>
    <row r="69" spans="1:107" x14ac:dyDescent="0.25">
      <c r="C69"/>
      <c r="D69"/>
      <c r="E69"/>
      <c r="F69"/>
      <c r="G69"/>
      <c r="H69"/>
      <c r="I69"/>
      <c r="J69"/>
      <c r="K69"/>
      <c r="L69"/>
      <c r="M69"/>
      <c r="N69"/>
      <c r="O69"/>
      <c r="P69" s="136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</row>
    <row r="71" spans="1:107" x14ac:dyDescent="0.2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H71" s="137"/>
      <c r="AJ71" s="4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</row>
    <row r="72" spans="1:107" x14ac:dyDescent="0.2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J72" s="138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</row>
    <row r="74" spans="1:107" x14ac:dyDescent="0.2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J74" s="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</row>
    <row r="75" spans="1:107" x14ac:dyDescent="0.2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4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</row>
  </sheetData>
  <mergeCells count="17">
    <mergeCell ref="AP38:AP41"/>
    <mergeCell ref="O4:S4"/>
    <mergeCell ref="T4:U4"/>
    <mergeCell ref="V4:W4"/>
    <mergeCell ref="X4:AC4"/>
    <mergeCell ref="AE4:AH4"/>
    <mergeCell ref="AP13:AP16"/>
    <mergeCell ref="A1:AP1"/>
    <mergeCell ref="A2:B2"/>
    <mergeCell ref="A3:A5"/>
    <mergeCell ref="B3:B5"/>
    <mergeCell ref="C3:AF3"/>
    <mergeCell ref="AI3:AM5"/>
    <mergeCell ref="AN3:AO4"/>
    <mergeCell ref="AP3:AP5"/>
    <mergeCell ref="C4:E4"/>
    <mergeCell ref="F4:N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2021-11-08T08:57:06Z</dcterms:modified>
</cp:coreProperties>
</file>